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30" yWindow="60" windowWidth="10560" windowHeight="9240" activeTab="5"/>
  </bookViews>
  <sheets>
    <sheet name="дох. прогноз" sheetId="6" r:id="rId1"/>
    <sheet name="расх. прогноз" sheetId="7" r:id="rId2"/>
    <sheet name="дох (2)" sheetId="10" r:id="rId3"/>
    <sheet name="расх (2)" sheetId="9" r:id="rId4"/>
    <sheet name="рез.фонд" sheetId="5" r:id="rId5"/>
    <sheet name="штат" sheetId="3" r:id="rId6"/>
    <sheet name="Лист2" sheetId="4" r:id="rId7"/>
  </sheets>
  <externalReferences>
    <externalReference r:id="rId8"/>
  </externalReferences>
  <definedNames>
    <definedName name="_xlnm._FilterDatabase" localSheetId="2" hidden="1">'дох (2)'!$A$18:$F$18</definedName>
    <definedName name="_xlnm._FilterDatabase" localSheetId="0" hidden="1">'дох. прогноз'!$A$15:$K$15</definedName>
    <definedName name="FILE_NAME" localSheetId="2">#REF!</definedName>
    <definedName name="FILE_NAME" localSheetId="0">#REF!</definedName>
    <definedName name="FILE_NAME" localSheetId="3">#REF!</definedName>
    <definedName name="FILE_NAME" localSheetId="1">#REF!</definedName>
    <definedName name="FILE_NAME" localSheetId="5">#REF!</definedName>
    <definedName name="FILE_NAME">#REF!</definedName>
    <definedName name="FORM_CODE" localSheetId="2">#REF!</definedName>
    <definedName name="FORM_CODE" localSheetId="0">#REF!</definedName>
    <definedName name="FORM_CODE" localSheetId="3">#REF!</definedName>
    <definedName name="FORM_CODE" localSheetId="1">#REF!</definedName>
    <definedName name="FORM_CODE" localSheetId="5">#REF!</definedName>
    <definedName name="FORM_CODE">#REF!</definedName>
    <definedName name="PARAMS" localSheetId="2">#REF!</definedName>
    <definedName name="PARAMS" localSheetId="0">#REF!</definedName>
    <definedName name="PARAMS" localSheetId="3">#REF!</definedName>
    <definedName name="PARAMS" localSheetId="1">#REF!</definedName>
    <definedName name="PARAMS" localSheetId="5">#REF!</definedName>
    <definedName name="PARAMS">#REF!</definedName>
    <definedName name="PERIOD" localSheetId="2">#REF!</definedName>
    <definedName name="PERIOD" localSheetId="0">#REF!</definedName>
    <definedName name="PERIOD" localSheetId="3">#REF!</definedName>
    <definedName name="PERIOD" localSheetId="1">#REF!</definedName>
    <definedName name="PERIOD" localSheetId="5">#REF!</definedName>
    <definedName name="PERIOD">#REF!</definedName>
    <definedName name="RANGE_NAMES" localSheetId="2">#REF!</definedName>
    <definedName name="RANGE_NAMES" localSheetId="0">#REF!</definedName>
    <definedName name="RANGE_NAMES" localSheetId="3">#REF!</definedName>
    <definedName name="RANGE_NAMES" localSheetId="1">#REF!</definedName>
    <definedName name="RANGE_NAMES" localSheetId="5">#REF!</definedName>
    <definedName name="RANGE_NAMES">#REF!</definedName>
    <definedName name="REG_DATE" localSheetId="2">#REF!</definedName>
    <definedName name="REG_DATE" localSheetId="0">#REF!</definedName>
    <definedName name="REG_DATE" localSheetId="3">#REF!</definedName>
    <definedName name="REG_DATE" localSheetId="1">#REF!</definedName>
    <definedName name="REG_DATE" localSheetId="5">#REF!</definedName>
    <definedName name="REG_DATE">#REF!</definedName>
    <definedName name="SRC_CODE" localSheetId="2">#REF!</definedName>
    <definedName name="SRC_CODE" localSheetId="0">#REF!</definedName>
    <definedName name="SRC_CODE" localSheetId="3">#REF!</definedName>
    <definedName name="SRC_CODE" localSheetId="1">#REF!</definedName>
    <definedName name="SRC_CODE" localSheetId="5">#REF!</definedName>
    <definedName name="SRC_CODE">#REF!</definedName>
    <definedName name="SRC_KIND" localSheetId="2">#REF!</definedName>
    <definedName name="SRC_KIND" localSheetId="0">#REF!</definedName>
    <definedName name="SRC_KIND" localSheetId="3">#REF!</definedName>
    <definedName name="SRC_KIND" localSheetId="1">#REF!</definedName>
    <definedName name="SRC_KIND" localSheetId="5">#REF!</definedName>
    <definedName name="SRC_KIND">#REF!</definedName>
    <definedName name="_xlnm.Print_Titles" localSheetId="3">'расх (2)'!$4:$11</definedName>
    <definedName name="_xlnm.Print_Titles" localSheetId="1">'расх. прогноз'!$4:$11</definedName>
    <definedName name="прпор" localSheetId="0">#REF!</definedName>
    <definedName name="прпор" localSheetId="3">#REF!</definedName>
    <definedName name="прпор" localSheetId="1">#REF!</definedName>
    <definedName name="прпор">#REF!</definedName>
  </definedNames>
  <calcPr calcId="124519"/>
</workbook>
</file>

<file path=xl/calcChain.xml><?xml version="1.0" encoding="utf-8"?>
<calcChain xmlns="http://schemas.openxmlformats.org/spreadsheetml/2006/main">
  <c r="J17" i="6"/>
  <c r="J14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6"/>
  <c r="J87"/>
  <c r="J88"/>
  <c r="J89"/>
  <c r="J90"/>
  <c r="J91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4"/>
  <c r="J115"/>
  <c r="J116"/>
  <c r="J117"/>
  <c r="J118"/>
  <c r="J119"/>
  <c r="J120"/>
  <c r="J121"/>
  <c r="J122"/>
  <c r="J124"/>
  <c r="J125"/>
  <c r="J126"/>
  <c r="J127"/>
  <c r="I101"/>
  <c r="H101"/>
  <c r="K126"/>
  <c r="K124"/>
  <c r="K125"/>
  <c r="F218" i="7" l="1"/>
  <c r="H217"/>
  <c r="G216"/>
  <c r="D216"/>
  <c r="H216" s="1"/>
  <c r="G215"/>
  <c r="D215"/>
  <c r="H215" s="1"/>
  <c r="G214"/>
  <c r="D214"/>
  <c r="H214" s="1"/>
  <c r="H213"/>
  <c r="G212"/>
  <c r="F212"/>
  <c r="E212"/>
  <c r="D212"/>
  <c r="H211"/>
  <c r="H209"/>
  <c r="F209"/>
  <c r="E209"/>
  <c r="E202" s="1"/>
  <c r="D209"/>
  <c r="D205" s="1"/>
  <c r="H205" s="1"/>
  <c r="G207"/>
  <c r="F207"/>
  <c r="E207"/>
  <c r="H206"/>
  <c r="F206"/>
  <c r="G205"/>
  <c r="H204"/>
  <c r="F204"/>
  <c r="G203"/>
  <c r="G202" s="1"/>
  <c r="D203"/>
  <c r="F202"/>
  <c r="H201"/>
  <c r="G200"/>
  <c r="D200"/>
  <c r="H200" s="1"/>
  <c r="G199"/>
  <c r="D199"/>
  <c r="H199" s="1"/>
  <c r="G198"/>
  <c r="D198"/>
  <c r="H198" s="1"/>
  <c r="H197"/>
  <c r="H196"/>
  <c r="H195"/>
  <c r="F195"/>
  <c r="G194"/>
  <c r="G193" s="1"/>
  <c r="D194"/>
  <c r="H194" s="1"/>
  <c r="F193"/>
  <c r="E193"/>
  <c r="D193"/>
  <c r="H192"/>
  <c r="H191"/>
  <c r="H190"/>
  <c r="F190"/>
  <c r="G189"/>
  <c r="D189"/>
  <c r="G188"/>
  <c r="F188"/>
  <c r="E188"/>
  <c r="D188"/>
  <c r="H187"/>
  <c r="H186"/>
  <c r="G185"/>
  <c r="G184" s="1"/>
  <c r="G183" s="1"/>
  <c r="I183" s="1"/>
  <c r="D185"/>
  <c r="F185" s="1"/>
  <c r="H185" s="1"/>
  <c r="F183"/>
  <c r="E183"/>
  <c r="G181"/>
  <c r="H181" s="1"/>
  <c r="G180"/>
  <c r="D180"/>
  <c r="F180" s="1"/>
  <c r="G179"/>
  <c r="E179"/>
  <c r="D179"/>
  <c r="F179" s="1"/>
  <c r="H179" s="1"/>
  <c r="H178"/>
  <c r="G177"/>
  <c r="D177"/>
  <c r="F177" s="1"/>
  <c r="G176"/>
  <c r="E176"/>
  <c r="D176"/>
  <c r="F175"/>
  <c r="H175" s="1"/>
  <c r="F174"/>
  <c r="H174" s="1"/>
  <c r="F173"/>
  <c r="H173" s="1"/>
  <c r="H172"/>
  <c r="H171"/>
  <c r="G170"/>
  <c r="G169" s="1"/>
  <c r="D170"/>
  <c r="F170" s="1"/>
  <c r="F169"/>
  <c r="E169"/>
  <c r="D169"/>
  <c r="F168"/>
  <c r="H168" s="1"/>
  <c r="G167"/>
  <c r="D167"/>
  <c r="F167" s="1"/>
  <c r="G166"/>
  <c r="D166"/>
  <c r="F166" s="1"/>
  <c r="F165"/>
  <c r="H165" s="1"/>
  <c r="G164"/>
  <c r="D164"/>
  <c r="F164" s="1"/>
  <c r="H164" s="1"/>
  <c r="G163"/>
  <c r="G162" s="1"/>
  <c r="D163"/>
  <c r="F163" s="1"/>
  <c r="H163" s="1"/>
  <c r="H161"/>
  <c r="F160"/>
  <c r="H160" s="1"/>
  <c r="G159"/>
  <c r="D159"/>
  <c r="F159" s="1"/>
  <c r="F158"/>
  <c r="H158" s="1"/>
  <c r="F157"/>
  <c r="H157" s="1"/>
  <c r="G156"/>
  <c r="D156"/>
  <c r="F156" s="1"/>
  <c r="G155"/>
  <c r="D155"/>
  <c r="F155" s="1"/>
  <c r="G154"/>
  <c r="D154"/>
  <c r="H153"/>
  <c r="F152"/>
  <c r="H152" s="1"/>
  <c r="G151"/>
  <c r="D151"/>
  <c r="F151" s="1"/>
  <c r="H151" s="1"/>
  <c r="G150"/>
  <c r="D150"/>
  <c r="F150" s="1"/>
  <c r="H150" s="1"/>
  <c r="E149"/>
  <c r="H148"/>
  <c r="H147"/>
  <c r="G146"/>
  <c r="G145" s="1"/>
  <c r="D146"/>
  <c r="F146" s="1"/>
  <c r="H146" s="1"/>
  <c r="D145"/>
  <c r="F145" s="1"/>
  <c r="G144"/>
  <c r="E144"/>
  <c r="F143"/>
  <c r="H143" s="1"/>
  <c r="F142"/>
  <c r="H142" s="1"/>
  <c r="F141"/>
  <c r="H141" s="1"/>
  <c r="F140"/>
  <c r="H140" s="1"/>
  <c r="F139"/>
  <c r="H139" s="1"/>
  <c r="G138"/>
  <c r="G137" s="1"/>
  <c r="G136" s="1"/>
  <c r="D138"/>
  <c r="F138" s="1"/>
  <c r="H138" s="1"/>
  <c r="H135"/>
  <c r="G134"/>
  <c r="D134"/>
  <c r="F134" s="1"/>
  <c r="G133"/>
  <c r="D133"/>
  <c r="F133" s="1"/>
  <c r="E132"/>
  <c r="D132"/>
  <c r="H131"/>
  <c r="G130"/>
  <c r="F130"/>
  <c r="H130" s="1"/>
  <c r="D130"/>
  <c r="I129"/>
  <c r="G129"/>
  <c r="D129"/>
  <c r="F129" s="1"/>
  <c r="H129" s="1"/>
  <c r="G128"/>
  <c r="F128"/>
  <c r="H128" s="1"/>
  <c r="H127"/>
  <c r="G126"/>
  <c r="G125" s="1"/>
  <c r="G124" s="1"/>
  <c r="D126"/>
  <c r="F126" s="1"/>
  <c r="H126" s="1"/>
  <c r="D125"/>
  <c r="F125" s="1"/>
  <c r="F124"/>
  <c r="H123"/>
  <c r="G122"/>
  <c r="D122"/>
  <c r="F122" s="1"/>
  <c r="H122" s="1"/>
  <c r="G121"/>
  <c r="D121"/>
  <c r="F121" s="1"/>
  <c r="H121" s="1"/>
  <c r="G120"/>
  <c r="H120" s="1"/>
  <c r="E120"/>
  <c r="F119"/>
  <c r="H119" s="1"/>
  <c r="H118"/>
  <c r="G117"/>
  <c r="D117"/>
  <c r="F117" s="1"/>
  <c r="G116"/>
  <c r="D116"/>
  <c r="F116" s="1"/>
  <c r="H116" s="1"/>
  <c r="F115"/>
  <c r="H115" s="1"/>
  <c r="H114"/>
  <c r="G113"/>
  <c r="F113"/>
  <c r="H113" s="1"/>
  <c r="D113"/>
  <c r="G112"/>
  <c r="G111" s="1"/>
  <c r="D112"/>
  <c r="F112" s="1"/>
  <c r="F111"/>
  <c r="E111"/>
  <c r="D111"/>
  <c r="F109"/>
  <c r="H109" s="1"/>
  <c r="G108"/>
  <c r="D108"/>
  <c r="F108" s="1"/>
  <c r="G107"/>
  <c r="G106" s="1"/>
  <c r="D107"/>
  <c r="F107" s="1"/>
  <c r="H105"/>
  <c r="F104"/>
  <c r="H104" s="1"/>
  <c r="G103"/>
  <c r="D103"/>
  <c r="F103" s="1"/>
  <c r="H102"/>
  <c r="F101"/>
  <c r="H101" s="1"/>
  <c r="G100"/>
  <c r="G99" s="1"/>
  <c r="G98" s="1"/>
  <c r="D100"/>
  <c r="F100" s="1"/>
  <c r="F98"/>
  <c r="E98"/>
  <c r="F97"/>
  <c r="H97" s="1"/>
  <c r="G96"/>
  <c r="F96"/>
  <c r="H96" s="1"/>
  <c r="D96"/>
  <c r="H95"/>
  <c r="F95"/>
  <c r="G94"/>
  <c r="G93" s="1"/>
  <c r="G92" s="1"/>
  <c r="D94"/>
  <c r="F94" s="1"/>
  <c r="H91"/>
  <c r="H90"/>
  <c r="G89"/>
  <c r="D89"/>
  <c r="F89" s="1"/>
  <c r="H89" s="1"/>
  <c r="F88"/>
  <c r="H88" s="1"/>
  <c r="H87"/>
  <c r="G86"/>
  <c r="D86"/>
  <c r="F86" s="1"/>
  <c r="G85"/>
  <c r="G84" s="1"/>
  <c r="F84"/>
  <c r="E84"/>
  <c r="F83"/>
  <c r="H83" s="1"/>
  <c r="G82"/>
  <c r="D82"/>
  <c r="F82" s="1"/>
  <c r="G81"/>
  <c r="D81"/>
  <c r="F81" s="1"/>
  <c r="H77"/>
  <c r="H76"/>
  <c r="G75"/>
  <c r="F75"/>
  <c r="H75" s="1"/>
  <c r="D75"/>
  <c r="H74"/>
  <c r="F74"/>
  <c r="H73"/>
  <c r="G72"/>
  <c r="D72"/>
  <c r="F72" s="1"/>
  <c r="H72" s="1"/>
  <c r="G71"/>
  <c r="G70"/>
  <c r="F70"/>
  <c r="E70"/>
  <c r="H69"/>
  <c r="H68"/>
  <c r="G67"/>
  <c r="D67"/>
  <c r="F67" s="1"/>
  <c r="H67" s="1"/>
  <c r="G66"/>
  <c r="D66"/>
  <c r="F66" s="1"/>
  <c r="H66" s="1"/>
  <c r="G65"/>
  <c r="F65"/>
  <c r="H65" s="1"/>
  <c r="E65"/>
  <c r="D65"/>
  <c r="G64"/>
  <c r="F64"/>
  <c r="H64" s="1"/>
  <c r="D64"/>
  <c r="G63"/>
  <c r="D63"/>
  <c r="F63" s="1"/>
  <c r="F62"/>
  <c r="H62" s="1"/>
  <c r="F61"/>
  <c r="H61" s="1"/>
  <c r="G60"/>
  <c r="G59" s="1"/>
  <c r="D60"/>
  <c r="F60" s="1"/>
  <c r="H60" s="1"/>
  <c r="D59"/>
  <c r="F59" s="1"/>
  <c r="F58"/>
  <c r="H58" s="1"/>
  <c r="G57"/>
  <c r="F57"/>
  <c r="F56"/>
  <c r="H56" s="1"/>
  <c r="F55"/>
  <c r="H55" s="1"/>
  <c r="D54"/>
  <c r="F54" s="1"/>
  <c r="H54" s="1"/>
  <c r="H53"/>
  <c r="H52"/>
  <c r="F51"/>
  <c r="H51" s="1"/>
  <c r="G50"/>
  <c r="G49" s="1"/>
  <c r="G48" s="1"/>
  <c r="D50"/>
  <c r="F50" s="1"/>
  <c r="H50" s="1"/>
  <c r="D49"/>
  <c r="F49" s="1"/>
  <c r="F47"/>
  <c r="H47" s="1"/>
  <c r="F46"/>
  <c r="H46" s="1"/>
  <c r="G45"/>
  <c r="D45"/>
  <c r="F45" s="1"/>
  <c r="H45" s="1"/>
  <c r="H44"/>
  <c r="H43"/>
  <c r="G42"/>
  <c r="F42"/>
  <c r="H42" s="1"/>
  <c r="E42"/>
  <c r="D42"/>
  <c r="H41"/>
  <c r="H40"/>
  <c r="H39"/>
  <c r="H38"/>
  <c r="F38"/>
  <c r="G37"/>
  <c r="G36" s="1"/>
  <c r="G35" s="1"/>
  <c r="D37"/>
  <c r="F37" s="1"/>
  <c r="F36"/>
  <c r="F35" s="1"/>
  <c r="E36"/>
  <c r="D36"/>
  <c r="D35" s="1"/>
  <c r="E35"/>
  <c r="F34"/>
  <c r="H34" s="1"/>
  <c r="F33"/>
  <c r="H33" s="1"/>
  <c r="G32"/>
  <c r="D32"/>
  <c r="F32" s="1"/>
  <c r="H32" s="1"/>
  <c r="F31"/>
  <c r="H31" s="1"/>
  <c r="G30"/>
  <c r="D30"/>
  <c r="F30" s="1"/>
  <c r="H30" s="1"/>
  <c r="H29"/>
  <c r="G28"/>
  <c r="F28"/>
  <c r="E28"/>
  <c r="D28"/>
  <c r="H27"/>
  <c r="H26"/>
  <c r="G25"/>
  <c r="G24" s="1"/>
  <c r="G23" s="1"/>
  <c r="D25"/>
  <c r="F25" s="1"/>
  <c r="H25" s="1"/>
  <c r="D24"/>
  <c r="F24" s="1"/>
  <c r="F23"/>
  <c r="E23"/>
  <c r="H22"/>
  <c r="H21"/>
  <c r="G20"/>
  <c r="D20"/>
  <c r="F20" s="1"/>
  <c r="G19"/>
  <c r="D19"/>
  <c r="F19" s="1"/>
  <c r="G18"/>
  <c r="E18"/>
  <c r="F131" i="10"/>
  <c r="F130"/>
  <c r="F129"/>
  <c r="F128"/>
  <c r="F127"/>
  <c r="E126"/>
  <c r="F126" s="1"/>
  <c r="F125"/>
  <c r="E124"/>
  <c r="D124"/>
  <c r="D123"/>
  <c r="F123" s="1"/>
  <c r="E121"/>
  <c r="F121" s="1"/>
  <c r="D120"/>
  <c r="E119"/>
  <c r="D119"/>
  <c r="F119" s="1"/>
  <c r="E118"/>
  <c r="D118"/>
  <c r="F118" s="1"/>
  <c r="D117"/>
  <c r="F116"/>
  <c r="E115"/>
  <c r="D115"/>
  <c r="E114"/>
  <c r="D114"/>
  <c r="F113"/>
  <c r="E112"/>
  <c r="D112"/>
  <c r="E111"/>
  <c r="F111" s="1"/>
  <c r="E110"/>
  <c r="F110" s="1"/>
  <c r="D109"/>
  <c r="D108"/>
  <c r="D107"/>
  <c r="F104"/>
  <c r="F103"/>
  <c r="F102"/>
  <c r="F101"/>
  <c r="E101"/>
  <c r="E100"/>
  <c r="D100"/>
  <c r="F99"/>
  <c r="E98"/>
  <c r="D98"/>
  <c r="D97" s="1"/>
  <c r="E97"/>
  <c r="E96" s="1"/>
  <c r="F95"/>
  <c r="D94"/>
  <c r="F94" s="1"/>
  <c r="D93"/>
  <c r="F93" s="1"/>
  <c r="E92"/>
  <c r="F92" s="1"/>
  <c r="D91"/>
  <c r="F90"/>
  <c r="E89"/>
  <c r="D89"/>
  <c r="E86"/>
  <c r="F86" s="1"/>
  <c r="D84"/>
  <c r="D83"/>
  <c r="E82"/>
  <c r="F82" s="1"/>
  <c r="E81"/>
  <c r="F81" s="1"/>
  <c r="E80"/>
  <c r="F80" s="1"/>
  <c r="F79"/>
  <c r="D77"/>
  <c r="E76"/>
  <c r="F76" s="1"/>
  <c r="E75"/>
  <c r="F75" s="1"/>
  <c r="E74"/>
  <c r="F74" s="1"/>
  <c r="F73"/>
  <c r="F72"/>
  <c r="E71"/>
  <c r="F71" s="1"/>
  <c r="E70"/>
  <c r="F70" s="1"/>
  <c r="F69"/>
  <c r="E68"/>
  <c r="F68" s="1"/>
  <c r="F67"/>
  <c r="F66"/>
  <c r="F65"/>
  <c r="E64"/>
  <c r="F64" s="1"/>
  <c r="D63"/>
  <c r="E62"/>
  <c r="F62" s="1"/>
  <c r="E61"/>
  <c r="F61" s="1"/>
  <c r="E60"/>
  <c r="F60" s="1"/>
  <c r="F59"/>
  <c r="F58"/>
  <c r="F57"/>
  <c r="F56"/>
  <c r="E55"/>
  <c r="F55" s="1"/>
  <c r="E54"/>
  <c r="F54" s="1"/>
  <c r="D53"/>
  <c r="E52"/>
  <c r="F52" s="1"/>
  <c r="E51"/>
  <c r="F51" s="1"/>
  <c r="E50"/>
  <c r="F50" s="1"/>
  <c r="E49"/>
  <c r="F49" s="1"/>
  <c r="E48"/>
  <c r="F48" s="1"/>
  <c r="E47"/>
  <c r="F47" s="1"/>
  <c r="F46"/>
  <c r="E46"/>
  <c r="E45"/>
  <c r="D45"/>
  <c r="E44"/>
  <c r="D44"/>
  <c r="E43"/>
  <c r="F43" s="1"/>
  <c r="E42"/>
  <c r="F42" s="1"/>
  <c r="E41"/>
  <c r="F41" s="1"/>
  <c r="E40"/>
  <c r="F40" s="1"/>
  <c r="E39"/>
  <c r="D39"/>
  <c r="E38"/>
  <c r="D38"/>
  <c r="F37"/>
  <c r="E36"/>
  <c r="F36" s="1"/>
  <c r="F35"/>
  <c r="F34"/>
  <c r="F33"/>
  <c r="E32"/>
  <c r="F32" s="1"/>
  <c r="F31"/>
  <c r="E30"/>
  <c r="F30" s="1"/>
  <c r="F29"/>
  <c r="F28"/>
  <c r="E27"/>
  <c r="F27" s="1"/>
  <c r="E26"/>
  <c r="F26" s="1"/>
  <c r="E25"/>
  <c r="F25" s="1"/>
  <c r="E24"/>
  <c r="F24" s="1"/>
  <c r="E23"/>
  <c r="F23" s="1"/>
  <c r="D22"/>
  <c r="D21" s="1"/>
  <c r="F19"/>
  <c r="G179" i="9"/>
  <c r="G142"/>
  <c r="H207"/>
  <c r="H39"/>
  <c r="F21"/>
  <c r="F63"/>
  <c r="F205"/>
  <c r="F200" s="1"/>
  <c r="D207"/>
  <c r="G205"/>
  <c r="E205"/>
  <c r="H204"/>
  <c r="F204"/>
  <c r="G203"/>
  <c r="H185"/>
  <c r="H184"/>
  <c r="G183"/>
  <c r="D183"/>
  <c r="F183" s="1"/>
  <c r="G182"/>
  <c r="G181" s="1"/>
  <c r="F181"/>
  <c r="E181"/>
  <c r="F191"/>
  <c r="H190"/>
  <c r="H189"/>
  <c r="H188"/>
  <c r="F188"/>
  <c r="G187"/>
  <c r="G186" s="1"/>
  <c r="D187"/>
  <c r="H187" s="1"/>
  <c r="F186"/>
  <c r="E186"/>
  <c r="D186"/>
  <c r="F150"/>
  <c r="F147" s="1"/>
  <c r="H151"/>
  <c r="H150"/>
  <c r="G149"/>
  <c r="D149"/>
  <c r="F149" s="1"/>
  <c r="G148"/>
  <c r="D148"/>
  <c r="F148" s="1"/>
  <c r="E147"/>
  <c r="F99"/>
  <c r="H99" s="1"/>
  <c r="F102"/>
  <c r="H103"/>
  <c r="H102"/>
  <c r="G101"/>
  <c r="D101"/>
  <c r="F101" s="1"/>
  <c r="H100"/>
  <c r="G98"/>
  <c r="D98"/>
  <c r="F98" s="1"/>
  <c r="G97"/>
  <c r="D97"/>
  <c r="F97" s="1"/>
  <c r="E96"/>
  <c r="H75"/>
  <c r="F40"/>
  <c r="H41"/>
  <c r="F36"/>
  <c r="F34" s="1"/>
  <c r="F33" s="1"/>
  <c r="F216"/>
  <c r="H215"/>
  <c r="G214"/>
  <c r="D214"/>
  <c r="H214" s="1"/>
  <c r="G213"/>
  <c r="G212"/>
  <c r="H211"/>
  <c r="G210"/>
  <c r="F210"/>
  <c r="E210"/>
  <c r="D210"/>
  <c r="H209"/>
  <c r="F207"/>
  <c r="E207"/>
  <c r="E200" s="1"/>
  <c r="H202"/>
  <c r="F202"/>
  <c r="G201"/>
  <c r="G200" s="1"/>
  <c r="D201"/>
  <c r="H199"/>
  <c r="G198"/>
  <c r="D198"/>
  <c r="G197"/>
  <c r="D197"/>
  <c r="G196"/>
  <c r="D196"/>
  <c r="H195"/>
  <c r="H194"/>
  <c r="H193"/>
  <c r="F193"/>
  <c r="G192"/>
  <c r="G191" s="1"/>
  <c r="D192"/>
  <c r="E191"/>
  <c r="D191"/>
  <c r="H179"/>
  <c r="G178"/>
  <c r="G177" s="1"/>
  <c r="D178"/>
  <c r="F178" s="1"/>
  <c r="E177"/>
  <c r="H176"/>
  <c r="G175"/>
  <c r="G174" s="1"/>
  <c r="D175"/>
  <c r="F175" s="1"/>
  <c r="E174"/>
  <c r="F173"/>
  <c r="H173" s="1"/>
  <c r="F172"/>
  <c r="H172" s="1"/>
  <c r="F171"/>
  <c r="H171" s="1"/>
  <c r="H170"/>
  <c r="H169"/>
  <c r="G168"/>
  <c r="D168"/>
  <c r="F168" s="1"/>
  <c r="H168" s="1"/>
  <c r="G167"/>
  <c r="F167"/>
  <c r="H167" s="1"/>
  <c r="E167"/>
  <c r="H166"/>
  <c r="F166"/>
  <c r="G165"/>
  <c r="G164" s="1"/>
  <c r="D165"/>
  <c r="F165" s="1"/>
  <c r="H163"/>
  <c r="F163"/>
  <c r="G162"/>
  <c r="G161" s="1"/>
  <c r="G160" s="1"/>
  <c r="D162"/>
  <c r="F162" s="1"/>
  <c r="H159"/>
  <c r="F158"/>
  <c r="H158" s="1"/>
  <c r="G157"/>
  <c r="D157"/>
  <c r="F157" s="1"/>
  <c r="F156"/>
  <c r="H156" s="1"/>
  <c r="F155"/>
  <c r="H155" s="1"/>
  <c r="G154"/>
  <c r="D154"/>
  <c r="F154" s="1"/>
  <c r="G153"/>
  <c r="D153"/>
  <c r="F153" s="1"/>
  <c r="G152"/>
  <c r="D152"/>
  <c r="H146"/>
  <c r="H145"/>
  <c r="G144"/>
  <c r="G143" s="1"/>
  <c r="D144"/>
  <c r="F144" s="1"/>
  <c r="D143"/>
  <c r="F143" s="1"/>
  <c r="E142"/>
  <c r="F141"/>
  <c r="H141" s="1"/>
  <c r="F140"/>
  <c r="H140" s="1"/>
  <c r="F139"/>
  <c r="H139" s="1"/>
  <c r="F138"/>
  <c r="H138" s="1"/>
  <c r="F137"/>
  <c r="H137" s="1"/>
  <c r="G136"/>
  <c r="F136"/>
  <c r="H136" s="1"/>
  <c r="D136"/>
  <c r="G135"/>
  <c r="G134" s="1"/>
  <c r="D135"/>
  <c r="F135" s="1"/>
  <c r="H133"/>
  <c r="G132"/>
  <c r="D132"/>
  <c r="F132" s="1"/>
  <c r="H132" s="1"/>
  <c r="G131"/>
  <c r="D131"/>
  <c r="F131" s="1"/>
  <c r="E130"/>
  <c r="D130"/>
  <c r="H129"/>
  <c r="G128"/>
  <c r="G127" s="1"/>
  <c r="G126" s="1"/>
  <c r="D128"/>
  <c r="F128" s="1"/>
  <c r="I127"/>
  <c r="F126"/>
  <c r="H125"/>
  <c r="G124"/>
  <c r="G123" s="1"/>
  <c r="G122" s="1"/>
  <c r="D124"/>
  <c r="F124" s="1"/>
  <c r="H124" s="1"/>
  <c r="F122"/>
  <c r="H121"/>
  <c r="G120"/>
  <c r="D120"/>
  <c r="F120" s="1"/>
  <c r="G119"/>
  <c r="D119"/>
  <c r="F119" s="1"/>
  <c r="G118"/>
  <c r="H118" s="1"/>
  <c r="E118"/>
  <c r="F117"/>
  <c r="H117" s="1"/>
  <c r="H116"/>
  <c r="G115"/>
  <c r="G114" s="1"/>
  <c r="D115"/>
  <c r="F115" s="1"/>
  <c r="H115" s="1"/>
  <c r="F113"/>
  <c r="H113" s="1"/>
  <c r="H112"/>
  <c r="G111"/>
  <c r="G110" s="1"/>
  <c r="G109" s="1"/>
  <c r="D111"/>
  <c r="F111" s="1"/>
  <c r="H111" s="1"/>
  <c r="F109"/>
  <c r="E109"/>
  <c r="F107"/>
  <c r="H107" s="1"/>
  <c r="G106"/>
  <c r="D106"/>
  <c r="F106" s="1"/>
  <c r="G105"/>
  <c r="D105"/>
  <c r="F105" s="1"/>
  <c r="G104"/>
  <c r="D104"/>
  <c r="F104" s="1"/>
  <c r="F95"/>
  <c r="H95" s="1"/>
  <c r="G94"/>
  <c r="D94"/>
  <c r="F94" s="1"/>
  <c r="F93"/>
  <c r="H93" s="1"/>
  <c r="G92"/>
  <c r="D92"/>
  <c r="F92" s="1"/>
  <c r="G91"/>
  <c r="D91"/>
  <c r="F91" s="1"/>
  <c r="H89"/>
  <c r="H88"/>
  <c r="G87"/>
  <c r="D87"/>
  <c r="F87" s="1"/>
  <c r="F86"/>
  <c r="H86" s="1"/>
  <c r="H85"/>
  <c r="G84"/>
  <c r="G83" s="1"/>
  <c r="D84"/>
  <c r="F84" s="1"/>
  <c r="F82"/>
  <c r="E82"/>
  <c r="F81"/>
  <c r="H81" s="1"/>
  <c r="G80"/>
  <c r="D80"/>
  <c r="F80" s="1"/>
  <c r="G79"/>
  <c r="D79"/>
  <c r="F79" s="1"/>
  <c r="H74"/>
  <c r="G73"/>
  <c r="D73"/>
  <c r="F73" s="1"/>
  <c r="F72"/>
  <c r="H72" s="1"/>
  <c r="H71"/>
  <c r="G70"/>
  <c r="D70"/>
  <c r="F70" s="1"/>
  <c r="G69"/>
  <c r="D69"/>
  <c r="F69" s="1"/>
  <c r="G68"/>
  <c r="F68"/>
  <c r="E68"/>
  <c r="H67"/>
  <c r="H66"/>
  <c r="G65"/>
  <c r="G64" s="1"/>
  <c r="G63" s="1"/>
  <c r="D65"/>
  <c r="F65" s="1"/>
  <c r="E63"/>
  <c r="G62"/>
  <c r="G61" s="1"/>
  <c r="D62"/>
  <c r="F62" s="1"/>
  <c r="H62" s="1"/>
  <c r="F60"/>
  <c r="H60" s="1"/>
  <c r="F59"/>
  <c r="H59" s="1"/>
  <c r="G58"/>
  <c r="G57" s="1"/>
  <c r="D58"/>
  <c r="F58" s="1"/>
  <c r="H58" s="1"/>
  <c r="F56"/>
  <c r="H56" s="1"/>
  <c r="G55"/>
  <c r="F55"/>
  <c r="F54"/>
  <c r="H54" s="1"/>
  <c r="F53"/>
  <c r="H53" s="1"/>
  <c r="D52"/>
  <c r="F52" s="1"/>
  <c r="H52" s="1"/>
  <c r="H51"/>
  <c r="F49"/>
  <c r="H49" s="1"/>
  <c r="G48"/>
  <c r="D48"/>
  <c r="F48" s="1"/>
  <c r="G47"/>
  <c r="D47"/>
  <c r="F47" s="1"/>
  <c r="G46"/>
  <c r="D46"/>
  <c r="F46" s="1"/>
  <c r="F45"/>
  <c r="H45" s="1"/>
  <c r="F44"/>
  <c r="H44" s="1"/>
  <c r="G43"/>
  <c r="D43"/>
  <c r="F43" s="1"/>
  <c r="H42"/>
  <c r="G40"/>
  <c r="E40"/>
  <c r="D40"/>
  <c r="H50"/>
  <c r="H38"/>
  <c r="H37"/>
  <c r="H36"/>
  <c r="G35"/>
  <c r="G34" s="1"/>
  <c r="D35"/>
  <c r="F35" s="1"/>
  <c r="E34"/>
  <c r="F32"/>
  <c r="H32" s="1"/>
  <c r="F31"/>
  <c r="H31" s="1"/>
  <c r="G30"/>
  <c r="D30"/>
  <c r="F30" s="1"/>
  <c r="F29"/>
  <c r="H29" s="1"/>
  <c r="G28"/>
  <c r="D28"/>
  <c r="F28" s="1"/>
  <c r="H28" s="1"/>
  <c r="H27"/>
  <c r="G26"/>
  <c r="F26"/>
  <c r="E26"/>
  <c r="D26"/>
  <c r="H25"/>
  <c r="H24"/>
  <c r="G23"/>
  <c r="D23"/>
  <c r="F23" s="1"/>
  <c r="G22"/>
  <c r="D22"/>
  <c r="F22" s="1"/>
  <c r="G21"/>
  <c r="E21"/>
  <c r="H20"/>
  <c r="H19"/>
  <c r="G18"/>
  <c r="G17" s="1"/>
  <c r="G16" s="1"/>
  <c r="D18"/>
  <c r="F18" s="1"/>
  <c r="E16"/>
  <c r="G33" l="1"/>
  <c r="D64"/>
  <c r="F64" s="1"/>
  <c r="I63"/>
  <c r="H210"/>
  <c r="D34"/>
  <c r="D33" s="1"/>
  <c r="F38" i="10"/>
  <c r="F39"/>
  <c r="D88"/>
  <c r="E109"/>
  <c r="F109" s="1"/>
  <c r="F114"/>
  <c r="F115"/>
  <c r="E120"/>
  <c r="E117" s="1"/>
  <c r="F117" s="1"/>
  <c r="D122"/>
  <c r="E17" i="7"/>
  <c r="H20"/>
  <c r="D23"/>
  <c r="H28"/>
  <c r="H37"/>
  <c r="H57"/>
  <c r="H63"/>
  <c r="I65"/>
  <c r="H70"/>
  <c r="H86"/>
  <c r="H94"/>
  <c r="H100"/>
  <c r="H107"/>
  <c r="H112"/>
  <c r="D144"/>
  <c r="D149"/>
  <c r="F149"/>
  <c r="H149" s="1"/>
  <c r="H24"/>
  <c r="H49"/>
  <c r="H59"/>
  <c r="H84"/>
  <c r="G78"/>
  <c r="H125"/>
  <c r="E78"/>
  <c r="H170"/>
  <c r="F194"/>
  <c r="F198"/>
  <c r="F199"/>
  <c r="F200"/>
  <c r="D202"/>
  <c r="H203"/>
  <c r="H212"/>
  <c r="F214"/>
  <c r="F215"/>
  <c r="F216"/>
  <c r="H145"/>
  <c r="F144"/>
  <c r="H144" s="1"/>
  <c r="G17"/>
  <c r="G15" s="1"/>
  <c r="H23"/>
  <c r="H36"/>
  <c r="D71"/>
  <c r="D18"/>
  <c r="D48"/>
  <c r="F48" s="1"/>
  <c r="H48" s="1"/>
  <c r="H82"/>
  <c r="D93"/>
  <c r="H98"/>
  <c r="D99"/>
  <c r="F99" s="1"/>
  <c r="H99" s="1"/>
  <c r="H103"/>
  <c r="D106"/>
  <c r="F106" s="1"/>
  <c r="H106" s="1"/>
  <c r="H108"/>
  <c r="D115"/>
  <c r="H117"/>
  <c r="D120"/>
  <c r="D124"/>
  <c r="D128"/>
  <c r="H134"/>
  <c r="D137"/>
  <c r="F154"/>
  <c r="H154" s="1"/>
  <c r="H155"/>
  <c r="H156"/>
  <c r="H159"/>
  <c r="D162"/>
  <c r="F162" s="1"/>
  <c r="H162" s="1"/>
  <c r="H166"/>
  <c r="H167"/>
  <c r="H180"/>
  <c r="H183"/>
  <c r="D184"/>
  <c r="F184" s="1"/>
  <c r="H184" s="1"/>
  <c r="H188"/>
  <c r="H189"/>
  <c r="H193"/>
  <c r="F203"/>
  <c r="F205"/>
  <c r="H35"/>
  <c r="D85"/>
  <c r="H111"/>
  <c r="H124"/>
  <c r="H169"/>
  <c r="H202"/>
  <c r="H19"/>
  <c r="F18"/>
  <c r="H81"/>
  <c r="H133"/>
  <c r="F132"/>
  <c r="H132" s="1"/>
  <c r="H177"/>
  <c r="F176"/>
  <c r="H176" s="1"/>
  <c r="F189"/>
  <c r="E91" i="10"/>
  <c r="E88" s="1"/>
  <c r="E87" s="1"/>
  <c r="F124"/>
  <c r="E22"/>
  <c r="E21" s="1"/>
  <c r="F44"/>
  <c r="F45"/>
  <c r="F120"/>
  <c r="F100"/>
  <c r="E85"/>
  <c r="F91"/>
  <c r="F112"/>
  <c r="F88"/>
  <c r="D87"/>
  <c r="F87" s="1"/>
  <c r="F21"/>
  <c r="F97"/>
  <c r="D96"/>
  <c r="F96" s="1"/>
  <c r="F22"/>
  <c r="F89"/>
  <c r="F98"/>
  <c r="E78"/>
  <c r="H183" i="9"/>
  <c r="H175"/>
  <c r="H149"/>
  <c r="H65"/>
  <c r="H55"/>
  <c r="G90"/>
  <c r="H97"/>
  <c r="H84"/>
  <c r="D110"/>
  <c r="F110" s="1"/>
  <c r="H186"/>
  <c r="I181"/>
  <c r="D203"/>
  <c r="H203" s="1"/>
  <c r="D57"/>
  <c r="F57" s="1"/>
  <c r="D213"/>
  <c r="H98"/>
  <c r="F187"/>
  <c r="H181"/>
  <c r="D182"/>
  <c r="F182" s="1"/>
  <c r="H182" s="1"/>
  <c r="D61"/>
  <c r="F61" s="1"/>
  <c r="G96"/>
  <c r="H73"/>
  <c r="H94"/>
  <c r="D109"/>
  <c r="D114"/>
  <c r="F114" s="1"/>
  <c r="H114" s="1"/>
  <c r="F214"/>
  <c r="H18"/>
  <c r="H43"/>
  <c r="H46"/>
  <c r="H47"/>
  <c r="H48"/>
  <c r="H57"/>
  <c r="D63"/>
  <c r="H110"/>
  <c r="D118"/>
  <c r="H128"/>
  <c r="H135"/>
  <c r="H144"/>
  <c r="H153"/>
  <c r="H154"/>
  <c r="H157"/>
  <c r="H162"/>
  <c r="H165"/>
  <c r="D174"/>
  <c r="H178"/>
  <c r="H192"/>
  <c r="H196"/>
  <c r="H197"/>
  <c r="H198"/>
  <c r="H201"/>
  <c r="H101"/>
  <c r="F96"/>
  <c r="H96" s="1"/>
  <c r="H61"/>
  <c r="H64"/>
  <c r="D147"/>
  <c r="H148"/>
  <c r="H147"/>
  <c r="G15"/>
  <c r="H63"/>
  <c r="G82"/>
  <c r="G76" s="1"/>
  <c r="G13" s="1"/>
  <c r="H109"/>
  <c r="H191"/>
  <c r="D17"/>
  <c r="H23"/>
  <c r="H26"/>
  <c r="H30"/>
  <c r="E33"/>
  <c r="E15" s="1"/>
  <c r="H40"/>
  <c r="H68"/>
  <c r="H69"/>
  <c r="H70"/>
  <c r="H80"/>
  <c r="D83"/>
  <c r="H87"/>
  <c r="D90"/>
  <c r="F90" s="1"/>
  <c r="H90" s="1"/>
  <c r="H91"/>
  <c r="H92"/>
  <c r="H104"/>
  <c r="H105"/>
  <c r="H106"/>
  <c r="H119"/>
  <c r="H120"/>
  <c r="H122"/>
  <c r="D123"/>
  <c r="H126"/>
  <c r="D127"/>
  <c r="D134"/>
  <c r="F134" s="1"/>
  <c r="H134" s="1"/>
  <c r="D161"/>
  <c r="D164"/>
  <c r="F164" s="1"/>
  <c r="H164" s="1"/>
  <c r="F174"/>
  <c r="H174" s="1"/>
  <c r="D177"/>
  <c r="F177" s="1"/>
  <c r="H177" s="1"/>
  <c r="F192"/>
  <c r="F196"/>
  <c r="F197"/>
  <c r="F198"/>
  <c r="D200"/>
  <c r="H200" s="1"/>
  <c r="F201"/>
  <c r="E76"/>
  <c r="H22"/>
  <c r="H21"/>
  <c r="H35"/>
  <c r="H79"/>
  <c r="H131"/>
  <c r="F130"/>
  <c r="H130" s="1"/>
  <c r="H143"/>
  <c r="F142"/>
  <c r="H142" s="1"/>
  <c r="D21"/>
  <c r="D68"/>
  <c r="D142"/>
  <c r="F152"/>
  <c r="H152" s="1"/>
  <c r="D167"/>
  <c r="F122" i="10" l="1"/>
  <c r="D106"/>
  <c r="E108"/>
  <c r="E106"/>
  <c r="E105" s="1"/>
  <c r="E15" i="7"/>
  <c r="F85"/>
  <c r="H85" s="1"/>
  <c r="D84"/>
  <c r="F137"/>
  <c r="H137" s="1"/>
  <c r="D136"/>
  <c r="F136" s="1"/>
  <c r="H136" s="1"/>
  <c r="F93"/>
  <c r="H93" s="1"/>
  <c r="D92"/>
  <c r="F92" s="1"/>
  <c r="H92" s="1"/>
  <c r="F71"/>
  <c r="H71" s="1"/>
  <c r="D70"/>
  <c r="D17" s="1"/>
  <c r="H78"/>
  <c r="H18"/>
  <c r="H17" s="1"/>
  <c r="F17"/>
  <c r="F78"/>
  <c r="F85" i="10"/>
  <c r="E84"/>
  <c r="D20"/>
  <c r="E77"/>
  <c r="F78"/>
  <c r="H82" i="9"/>
  <c r="D113"/>
  <c r="H213"/>
  <c r="D212"/>
  <c r="F213"/>
  <c r="F203"/>
  <c r="F161"/>
  <c r="H161" s="1"/>
  <c r="D160"/>
  <c r="F160" s="1"/>
  <c r="H160" s="1"/>
  <c r="F127"/>
  <c r="H127" s="1"/>
  <c r="D126"/>
  <c r="F123"/>
  <c r="H123" s="1"/>
  <c r="D122"/>
  <c r="F83"/>
  <c r="H83" s="1"/>
  <c r="D82"/>
  <c r="D76" s="1"/>
  <c r="D16"/>
  <c r="D15" s="1"/>
  <c r="F17"/>
  <c r="E13"/>
  <c r="H34"/>
  <c r="F76" l="1"/>
  <c r="E107" i="10"/>
  <c r="F107" s="1"/>
  <c r="F108"/>
  <c r="F106"/>
  <c r="D105"/>
  <c r="F105" s="1"/>
  <c r="F15" i="7"/>
  <c r="D78"/>
  <c r="D15" s="1"/>
  <c r="E83" i="10"/>
  <c r="F83" s="1"/>
  <c r="F84"/>
  <c r="D17"/>
  <c r="E63"/>
  <c r="F77"/>
  <c r="H212" i="9"/>
  <c r="H76" s="1"/>
  <c r="F212"/>
  <c r="D13"/>
  <c r="H17"/>
  <c r="F16"/>
  <c r="H33"/>
  <c r="H16" l="1"/>
  <c r="F15"/>
  <c r="F13" s="1"/>
  <c r="H15" i="7"/>
  <c r="F13"/>
  <c r="E53" i="10"/>
  <c r="F63"/>
  <c r="H13" i="9"/>
  <c r="H15"/>
  <c r="E13" i="3"/>
  <c r="E8"/>
  <c r="E11"/>
  <c r="E16"/>
  <c r="E17"/>
  <c r="F53" i="10" l="1"/>
  <c r="E20"/>
  <c r="E17" l="1"/>
  <c r="F20"/>
  <c r="F17" s="1"/>
  <c r="E120" i="6" l="1"/>
  <c r="K62"/>
  <c r="K38"/>
  <c r="J15"/>
  <c r="H2" i="7" l="1"/>
  <c r="H309"/>
  <c r="H313"/>
  <c r="H318"/>
  <c r="H322"/>
  <c r="H326"/>
  <c r="H330"/>
  <c r="H342"/>
  <c r="H343"/>
  <c r="H351"/>
  <c r="H361"/>
  <c r="H362"/>
  <c r="H368"/>
  <c r="H371"/>
  <c r="H290"/>
  <c r="H293"/>
  <c r="H294"/>
  <c r="H271"/>
  <c r="H272"/>
  <c r="H276"/>
  <c r="H279"/>
  <c r="H280"/>
  <c r="H226"/>
  <c r="H227"/>
  <c r="H231"/>
  <c r="H232"/>
  <c r="H234"/>
  <c r="H244"/>
  <c r="H245"/>
  <c r="H248"/>
  <c r="H256"/>
  <c r="H375"/>
  <c r="H376"/>
  <c r="H377"/>
  <c r="H381"/>
  <c r="H384"/>
  <c r="H386"/>
  <c r="H387"/>
  <c r="H389"/>
  <c r="H393"/>
  <c r="F394"/>
  <c r="F268"/>
  <c r="E388"/>
  <c r="F388"/>
  <c r="E385"/>
  <c r="E382" s="1"/>
  <c r="F385"/>
  <c r="F382" s="1"/>
  <c r="E373"/>
  <c r="F373"/>
  <c r="E369"/>
  <c r="E366"/>
  <c r="F359"/>
  <c r="E339"/>
  <c r="E327"/>
  <c r="F323"/>
  <c r="G321"/>
  <c r="D321"/>
  <c r="G320"/>
  <c r="G319" s="1"/>
  <c r="F319"/>
  <c r="G317"/>
  <c r="D317"/>
  <c r="G316"/>
  <c r="D316"/>
  <c r="D315" s="1"/>
  <c r="G315"/>
  <c r="H315" s="1"/>
  <c r="E315"/>
  <c r="F310"/>
  <c r="H310" s="1"/>
  <c r="F306"/>
  <c r="E306"/>
  <c r="E287"/>
  <c r="F273"/>
  <c r="E241"/>
  <c r="E247"/>
  <c r="F247"/>
  <c r="E233"/>
  <c r="E228"/>
  <c r="E223"/>
  <c r="D385"/>
  <c r="D382" s="1"/>
  <c r="F384"/>
  <c r="G383"/>
  <c r="D383"/>
  <c r="G382"/>
  <c r="D373"/>
  <c r="G370"/>
  <c r="G369" s="1"/>
  <c r="D370"/>
  <c r="G367"/>
  <c r="D367"/>
  <c r="G366"/>
  <c r="H382" l="1"/>
  <c r="H383"/>
  <c r="E240"/>
  <c r="H319"/>
  <c r="H385"/>
  <c r="D320"/>
  <c r="F316"/>
  <c r="H316" s="1"/>
  <c r="F317"/>
  <c r="H317" s="1"/>
  <c r="F321"/>
  <c r="H321" s="1"/>
  <c r="F383"/>
  <c r="D366"/>
  <c r="D369"/>
  <c r="F370"/>
  <c r="H370" s="1"/>
  <c r="F367"/>
  <c r="K19" i="6"/>
  <c r="K22"/>
  <c r="K23"/>
  <c r="K25"/>
  <c r="K27"/>
  <c r="K31"/>
  <c r="K32"/>
  <c r="K48"/>
  <c r="K51"/>
  <c r="K53"/>
  <c r="K54"/>
  <c r="K55"/>
  <c r="K56"/>
  <c r="K57"/>
  <c r="K58"/>
  <c r="K59"/>
  <c r="K60"/>
  <c r="K67"/>
  <c r="K72"/>
  <c r="K76"/>
  <c r="K78"/>
  <c r="K79"/>
  <c r="K82"/>
  <c r="K83"/>
  <c r="K84"/>
  <c r="K88"/>
  <c r="K89"/>
  <c r="K90"/>
  <c r="K91"/>
  <c r="K92"/>
  <c r="K93"/>
  <c r="K95"/>
  <c r="K98"/>
  <c r="K99"/>
  <c r="K100"/>
  <c r="K106"/>
  <c r="K107"/>
  <c r="K109"/>
  <c r="K112"/>
  <c r="K113"/>
  <c r="K114"/>
  <c r="K116"/>
  <c r="K119"/>
  <c r="K121"/>
  <c r="K127"/>
  <c r="I47"/>
  <c r="I120"/>
  <c r="G116"/>
  <c r="K61" l="1"/>
  <c r="H367" i="7"/>
  <c r="F366"/>
  <c r="H366" s="1"/>
  <c r="D319"/>
  <c r="F320"/>
  <c r="H320" s="1"/>
  <c r="F369"/>
  <c r="H369" s="1"/>
  <c r="H120" i="6"/>
  <c r="K120" s="1"/>
  <c r="H47"/>
  <c r="K47" s="1"/>
  <c r="K101" l="1"/>
  <c r="G120"/>
  <c r="G101" s="1"/>
  <c r="F120"/>
  <c r="F62"/>
  <c r="I122" l="1"/>
  <c r="I118"/>
  <c r="I117"/>
  <c r="I115"/>
  <c r="I111"/>
  <c r="I110" s="1"/>
  <c r="I108"/>
  <c r="I105"/>
  <c r="I97"/>
  <c r="I96" s="1"/>
  <c r="I94"/>
  <c r="I87"/>
  <c r="I86" s="1"/>
  <c r="I85" s="1"/>
  <c r="I81"/>
  <c r="I80" s="1"/>
  <c r="I77" s="1"/>
  <c r="I75"/>
  <c r="I74" s="1"/>
  <c r="I73" s="1"/>
  <c r="I71"/>
  <c r="I70"/>
  <c r="I69" s="1"/>
  <c r="I68"/>
  <c r="I66" s="1"/>
  <c r="I65"/>
  <c r="I64" s="1"/>
  <c r="I63"/>
  <c r="I52"/>
  <c r="I50"/>
  <c r="I49" s="1"/>
  <c r="I46"/>
  <c r="I45"/>
  <c r="I44"/>
  <c r="I43"/>
  <c r="I42"/>
  <c r="I41"/>
  <c r="I40"/>
  <c r="I39"/>
  <c r="I36"/>
  <c r="I35"/>
  <c r="I34"/>
  <c r="I30"/>
  <c r="I29"/>
  <c r="I28"/>
  <c r="I26"/>
  <c r="I24"/>
  <c r="I21"/>
  <c r="I20"/>
  <c r="I18" s="1"/>
  <c r="I104" l="1"/>
  <c r="I17"/>
  <c r="I14" s="1"/>
  <c r="I33"/>
  <c r="I102"/>
  <c r="I103" l="1"/>
  <c r="K17"/>
  <c r="K14" s="1"/>
  <c r="F89"/>
  <c r="F61"/>
  <c r="D1" i="4" l="1"/>
  <c r="C1"/>
  <c r="B1"/>
  <c r="A1"/>
  <c r="F375" i="7"/>
  <c r="F334"/>
  <c r="H334" s="1"/>
  <c r="F335"/>
  <c r="H335" s="1"/>
  <c r="F336"/>
  <c r="H336" s="1"/>
  <c r="F337"/>
  <c r="H337" s="1"/>
  <c r="F338"/>
  <c r="H338" s="1"/>
  <c r="F347"/>
  <c r="H347" s="1"/>
  <c r="F350"/>
  <c r="H350" s="1"/>
  <c r="F358"/>
  <c r="H358" s="1"/>
  <c r="F363"/>
  <c r="H363" s="1"/>
  <c r="F364"/>
  <c r="H364" s="1"/>
  <c r="F365"/>
  <c r="H365" s="1"/>
  <c r="F314"/>
  <c r="H314" s="1"/>
  <c r="F286"/>
  <c r="H286" s="1"/>
  <c r="F291"/>
  <c r="F298"/>
  <c r="H298" s="1"/>
  <c r="F300"/>
  <c r="H300" s="1"/>
  <c r="F304"/>
  <c r="H304" s="1"/>
  <c r="F236"/>
  <c r="H236" s="1"/>
  <c r="F238"/>
  <c r="H238" s="1"/>
  <c r="F239"/>
  <c r="H239" s="1"/>
  <c r="F243"/>
  <c r="H243" s="1"/>
  <c r="F246"/>
  <c r="H246" s="1"/>
  <c r="F250"/>
  <c r="H250" s="1"/>
  <c r="F251"/>
  <c r="H251" s="1"/>
  <c r="F255"/>
  <c r="H255" s="1"/>
  <c r="F258"/>
  <c r="H258" s="1"/>
  <c r="F259"/>
  <c r="H259" s="1"/>
  <c r="F260"/>
  <c r="F261"/>
  <c r="H261" s="1"/>
  <c r="F264"/>
  <c r="H264" s="1"/>
  <c r="F277"/>
  <c r="H277" s="1"/>
  <c r="E273"/>
  <c r="E268"/>
  <c r="E222" s="1"/>
  <c r="E359"/>
  <c r="F287" l="1"/>
  <c r="H291"/>
  <c r="E281"/>
  <c r="G109" i="6" l="1"/>
  <c r="E18"/>
  <c r="D61"/>
  <c r="D47" s="1"/>
  <c r="E61"/>
  <c r="E47" s="1"/>
  <c r="D38"/>
  <c r="G61"/>
  <c r="G47" s="1"/>
  <c r="D18"/>
  <c r="E15" i="3" l="1"/>
  <c r="D17" i="6"/>
  <c r="F9" i="3"/>
  <c r="F10"/>
  <c r="E12"/>
  <c r="E7" s="1"/>
  <c r="F14"/>
  <c r="F11"/>
  <c r="H13" l="1"/>
  <c r="F8"/>
  <c r="D392" i="7"/>
  <c r="G388"/>
  <c r="D388"/>
  <c r="D380"/>
  <c r="G374"/>
  <c r="G373" s="1"/>
  <c r="H373" s="1"/>
  <c r="D374"/>
  <c r="G360"/>
  <c r="G359" s="1"/>
  <c r="H359" s="1"/>
  <c r="D360"/>
  <c r="D359" s="1"/>
  <c r="G357"/>
  <c r="D357"/>
  <c r="G356"/>
  <c r="F355"/>
  <c r="H355" s="1"/>
  <c r="G354"/>
  <c r="D354"/>
  <c r="G353"/>
  <c r="G352" s="1"/>
  <c r="D349"/>
  <c r="G349"/>
  <c r="G346"/>
  <c r="G345" s="1"/>
  <c r="D341"/>
  <c r="G333"/>
  <c r="D333"/>
  <c r="G332"/>
  <c r="G331" s="1"/>
  <c r="G329"/>
  <c r="D329"/>
  <c r="G328"/>
  <c r="I324"/>
  <c r="G325"/>
  <c r="D325"/>
  <c r="G324"/>
  <c r="D324"/>
  <c r="G323"/>
  <c r="H323" s="1"/>
  <c r="G312"/>
  <c r="D312"/>
  <c r="G311"/>
  <c r="G308"/>
  <c r="D308"/>
  <c r="G307"/>
  <c r="G306" s="1"/>
  <c r="H306" s="1"/>
  <c r="G303"/>
  <c r="D303"/>
  <c r="G302"/>
  <c r="G301" s="1"/>
  <c r="G299"/>
  <c r="D299"/>
  <c r="G297"/>
  <c r="D297"/>
  <c r="G296"/>
  <c r="D292"/>
  <c r="G289"/>
  <c r="D289"/>
  <c r="G288"/>
  <c r="G285"/>
  <c r="D285"/>
  <c r="G284"/>
  <c r="G278"/>
  <c r="D278"/>
  <c r="G275"/>
  <c r="G274" s="1"/>
  <c r="G273" s="1"/>
  <c r="H273" s="1"/>
  <c r="D275"/>
  <c r="D274" s="1"/>
  <c r="D270"/>
  <c r="G267"/>
  <c r="D267"/>
  <c r="G266"/>
  <c r="G263"/>
  <c r="D263"/>
  <c r="G262"/>
  <c r="G260"/>
  <c r="H260" s="1"/>
  <c r="D257"/>
  <c r="F257" s="1"/>
  <c r="H257" s="1"/>
  <c r="G254"/>
  <c r="G253" s="1"/>
  <c r="G252" s="1"/>
  <c r="D254"/>
  <c r="F254" s="1"/>
  <c r="G249"/>
  <c r="D249"/>
  <c r="D247"/>
  <c r="D242"/>
  <c r="G237"/>
  <c r="D237"/>
  <c r="G235"/>
  <c r="D235"/>
  <c r="D230"/>
  <c r="D225"/>
  <c r="D224" s="1"/>
  <c r="H122" i="6"/>
  <c r="F118"/>
  <c r="G118" s="1"/>
  <c r="H117"/>
  <c r="K117" s="1"/>
  <c r="F117"/>
  <c r="F116" s="1"/>
  <c r="F111"/>
  <c r="H108"/>
  <c r="K108" s="1"/>
  <c r="F108"/>
  <c r="G108" s="1"/>
  <c r="F105"/>
  <c r="H97"/>
  <c r="F96"/>
  <c r="H94"/>
  <c r="K94" s="1"/>
  <c r="F94"/>
  <c r="H87"/>
  <c r="K87" s="1"/>
  <c r="F87"/>
  <c r="F86" s="1"/>
  <c r="H86"/>
  <c r="H81"/>
  <c r="K81" s="1"/>
  <c r="H80"/>
  <c r="F80"/>
  <c r="F77"/>
  <c r="H75"/>
  <c r="K75" s="1"/>
  <c r="H74"/>
  <c r="K74" s="1"/>
  <c r="F73"/>
  <c r="H71"/>
  <c r="K71" s="1"/>
  <c r="H70"/>
  <c r="H68"/>
  <c r="K68" s="1"/>
  <c r="F66"/>
  <c r="H65"/>
  <c r="H63"/>
  <c r="K63" s="1"/>
  <c r="H52"/>
  <c r="K52" s="1"/>
  <c r="H50"/>
  <c r="K50" s="1"/>
  <c r="H49"/>
  <c r="K49" s="1"/>
  <c r="H46"/>
  <c r="F45"/>
  <c r="H44"/>
  <c r="H43"/>
  <c r="K43" s="1"/>
  <c r="H42"/>
  <c r="K42" s="1"/>
  <c r="H41"/>
  <c r="K41" s="1"/>
  <c r="F40"/>
  <c r="F39" s="1"/>
  <c r="K37"/>
  <c r="H36"/>
  <c r="K36" s="1"/>
  <c r="H35"/>
  <c r="K35" s="1"/>
  <c r="H34"/>
  <c r="K34" s="1"/>
  <c r="F33"/>
  <c r="H30"/>
  <c r="K30" s="1"/>
  <c r="H29"/>
  <c r="K29" s="1"/>
  <c r="H26"/>
  <c r="F24"/>
  <c r="H21"/>
  <c r="F20"/>
  <c r="K16"/>
  <c r="F13" i="5"/>
  <c r="E13"/>
  <c r="D13"/>
  <c r="G12"/>
  <c r="H388" i="7" l="1"/>
  <c r="K122" i="6"/>
  <c r="H254" i="7"/>
  <c r="G344"/>
  <c r="H374"/>
  <c r="H64" i="6"/>
  <c r="K64" s="1"/>
  <c r="K65"/>
  <c r="H77"/>
  <c r="K77" s="1"/>
  <c r="K80"/>
  <c r="H85"/>
  <c r="K85" s="1"/>
  <c r="K86"/>
  <c r="H96"/>
  <c r="K96" s="1"/>
  <c r="K97"/>
  <c r="D391" i="7"/>
  <c r="H20" i="6"/>
  <c r="K20" s="1"/>
  <c r="K21"/>
  <c r="H24"/>
  <c r="K24" s="1"/>
  <c r="K26"/>
  <c r="H40"/>
  <c r="K44"/>
  <c r="H45"/>
  <c r="K45" s="1"/>
  <c r="K46"/>
  <c r="H69"/>
  <c r="K69" s="1"/>
  <c r="K70"/>
  <c r="D253" i="7"/>
  <c r="F253" s="1"/>
  <c r="H253" s="1"/>
  <c r="G295"/>
  <c r="G233"/>
  <c r="G225"/>
  <c r="G224" s="1"/>
  <c r="G223" s="1"/>
  <c r="G242"/>
  <c r="G241" s="1"/>
  <c r="G292"/>
  <c r="G287" s="1"/>
  <c r="H287" s="1"/>
  <c r="G380"/>
  <c r="G379" s="1"/>
  <c r="G378" s="1"/>
  <c r="G392"/>
  <c r="G391" s="1"/>
  <c r="G390" s="1"/>
  <c r="H111" i="6"/>
  <c r="H118"/>
  <c r="H105"/>
  <c r="F349" i="7"/>
  <c r="H349" s="1"/>
  <c r="H28" i="6"/>
  <c r="K28" s="1"/>
  <c r="H33"/>
  <c r="K33" s="1"/>
  <c r="F104"/>
  <c r="G104" s="1"/>
  <c r="G105"/>
  <c r="F110"/>
  <c r="G110" s="1"/>
  <c r="G111"/>
  <c r="G117"/>
  <c r="F225" i="7"/>
  <c r="H225" s="1"/>
  <c r="G230"/>
  <c r="G229" s="1"/>
  <c r="G228" s="1"/>
  <c r="F235"/>
  <c r="H235" s="1"/>
  <c r="D241"/>
  <c r="F242"/>
  <c r="G247"/>
  <c r="H247" s="1"/>
  <c r="F249"/>
  <c r="H249" s="1"/>
  <c r="G270"/>
  <c r="G269" s="1"/>
  <c r="G268" s="1"/>
  <c r="F275"/>
  <c r="H275" s="1"/>
  <c r="F278"/>
  <c r="H278" s="1"/>
  <c r="F285"/>
  <c r="H285" s="1"/>
  <c r="F289"/>
  <c r="H289" s="1"/>
  <c r="F292"/>
  <c r="H292" s="1"/>
  <c r="F297"/>
  <c r="H297" s="1"/>
  <c r="G341"/>
  <c r="G340" s="1"/>
  <c r="G339" s="1"/>
  <c r="F357"/>
  <c r="H357" s="1"/>
  <c r="F360"/>
  <c r="H360" s="1"/>
  <c r="F380"/>
  <c r="F392"/>
  <c r="D223"/>
  <c r="F224"/>
  <c r="D229"/>
  <c r="F229" s="1"/>
  <c r="F230"/>
  <c r="H230" s="1"/>
  <c r="D233"/>
  <c r="F233"/>
  <c r="H233" s="1"/>
  <c r="F237"/>
  <c r="H237" s="1"/>
  <c r="G240"/>
  <c r="F263"/>
  <c r="H263" s="1"/>
  <c r="F267"/>
  <c r="H267" s="1"/>
  <c r="F270"/>
  <c r="H270" s="1"/>
  <c r="F274"/>
  <c r="H274" s="1"/>
  <c r="F299"/>
  <c r="H299" s="1"/>
  <c r="F303"/>
  <c r="H303" s="1"/>
  <c r="F308"/>
  <c r="H308" s="1"/>
  <c r="F312"/>
  <c r="H312" s="1"/>
  <c r="F324"/>
  <c r="H324" s="1"/>
  <c r="F325"/>
  <c r="H325" s="1"/>
  <c r="F333"/>
  <c r="H333" s="1"/>
  <c r="F341"/>
  <c r="H341" s="1"/>
  <c r="F348"/>
  <c r="F354"/>
  <c r="H354" s="1"/>
  <c r="F374"/>
  <c r="F391"/>
  <c r="F329"/>
  <c r="H329" s="1"/>
  <c r="G18" i="6"/>
  <c r="G17" s="1"/>
  <c r="H73"/>
  <c r="K73" s="1"/>
  <c r="F122"/>
  <c r="G122" s="1"/>
  <c r="D240" i="7"/>
  <c r="D228"/>
  <c r="D262"/>
  <c r="D266"/>
  <c r="F266" s="1"/>
  <c r="H266" s="1"/>
  <c r="D269"/>
  <c r="F269" s="1"/>
  <c r="H269" s="1"/>
  <c r="D273"/>
  <c r="D284"/>
  <c r="D288"/>
  <c r="F288" s="1"/>
  <c r="H288" s="1"/>
  <c r="D296"/>
  <c r="F296" s="1"/>
  <c r="H296" s="1"/>
  <c r="D302"/>
  <c r="F302" s="1"/>
  <c r="H302" s="1"/>
  <c r="D307"/>
  <c r="F307" s="1"/>
  <c r="H307" s="1"/>
  <c r="D311"/>
  <c r="F311" s="1"/>
  <c r="H311" s="1"/>
  <c r="D323"/>
  <c r="D328"/>
  <c r="F328" s="1"/>
  <c r="D332"/>
  <c r="D340"/>
  <c r="F340" s="1"/>
  <c r="D346"/>
  <c r="F346" s="1"/>
  <c r="H346" s="1"/>
  <c r="D353"/>
  <c r="F353" s="1"/>
  <c r="H353" s="1"/>
  <c r="D356"/>
  <c r="D379"/>
  <c r="D390"/>
  <c r="H390" s="1"/>
  <c r="H66" i="6"/>
  <c r="K66" s="1"/>
  <c r="F103"/>
  <c r="G103" s="1"/>
  <c r="F115"/>
  <c r="F18"/>
  <c r="F17" s="1"/>
  <c r="H18"/>
  <c r="G13" i="5"/>
  <c r="D6" i="3"/>
  <c r="C7"/>
  <c r="B8"/>
  <c r="B7" s="1"/>
  <c r="D7" s="1"/>
  <c r="D8"/>
  <c r="D9"/>
  <c r="D10"/>
  <c r="D11"/>
  <c r="D13"/>
  <c r="D14"/>
  <c r="B15"/>
  <c r="D15" s="1"/>
  <c r="D16"/>
  <c r="D17"/>
  <c r="D18"/>
  <c r="B19"/>
  <c r="D19" s="1"/>
  <c r="C19"/>
  <c r="K18" i="6" l="1"/>
  <c r="H17"/>
  <c r="F379" i="7"/>
  <c r="H379"/>
  <c r="F339"/>
  <c r="H339" s="1"/>
  <c r="H340"/>
  <c r="F327"/>
  <c r="H327" s="1"/>
  <c r="H328"/>
  <c r="F228"/>
  <c r="H228" s="1"/>
  <c r="H229"/>
  <c r="I268"/>
  <c r="H268"/>
  <c r="H104" i="6"/>
  <c r="K105"/>
  <c r="H110"/>
  <c r="K111"/>
  <c r="H39"/>
  <c r="K39" s="1"/>
  <c r="K40"/>
  <c r="H391" i="7"/>
  <c r="F344"/>
  <c r="H344" s="1"/>
  <c r="H348"/>
  <c r="F223"/>
  <c r="H224"/>
  <c r="F241"/>
  <c r="H242"/>
  <c r="H115" i="6"/>
  <c r="K118"/>
  <c r="D252" i="7"/>
  <c r="F252" s="1"/>
  <c r="H252" s="1"/>
  <c r="H380"/>
  <c r="H392"/>
  <c r="G281"/>
  <c r="G222"/>
  <c r="F284"/>
  <c r="F332"/>
  <c r="H332" s="1"/>
  <c r="D331"/>
  <c r="H102" i="6"/>
  <c r="F356" i="7"/>
  <c r="H356" s="1"/>
  <c r="G115" i="6"/>
  <c r="F390" i="7"/>
  <c r="F262"/>
  <c r="H262" s="1"/>
  <c r="F101" i="6"/>
  <c r="D352" i="7"/>
  <c r="D339"/>
  <c r="D327"/>
  <c r="D306"/>
  <c r="D295"/>
  <c r="D268"/>
  <c r="D222" s="1"/>
  <c r="D378"/>
  <c r="H378" s="1"/>
  <c r="D345"/>
  <c r="F345" s="1"/>
  <c r="H345" s="1"/>
  <c r="D310"/>
  <c r="D301"/>
  <c r="D287"/>
  <c r="F265"/>
  <c r="H265" s="1"/>
  <c r="F102" i="6"/>
  <c r="G102" s="1"/>
  <c r="K110" l="1"/>
  <c r="K102"/>
  <c r="K115"/>
  <c r="F240" i="7"/>
  <c r="H240" s="1"/>
  <c r="H241"/>
  <c r="H223"/>
  <c r="H222" s="1"/>
  <c r="H103" i="6"/>
  <c r="K103" s="1"/>
  <c r="K104"/>
  <c r="H284" i="7"/>
  <c r="H14" i="6"/>
  <c r="F301" i="7"/>
  <c r="H301" s="1"/>
  <c r="F331"/>
  <c r="H331" s="1"/>
  <c r="F378"/>
  <c r="F295"/>
  <c r="H295" s="1"/>
  <c r="F352"/>
  <c r="H352" s="1"/>
  <c r="D344"/>
  <c r="D281" s="1"/>
  <c r="F14" i="6"/>
  <c r="H281" i="7" l="1"/>
  <c r="J222" s="1"/>
  <c r="F281"/>
  <c r="F222"/>
  <c r="G14" i="6"/>
  <c r="M14" s="1"/>
  <c r="I15" i="3"/>
  <c r="I7"/>
  <c r="J2" i="7" l="1"/>
  <c r="E19" i="3" l="1"/>
  <c r="F13" l="1"/>
  <c r="F12" l="1"/>
  <c r="H12" s="1"/>
</calcChain>
</file>

<file path=xl/comments1.xml><?xml version="1.0" encoding="utf-8"?>
<comments xmlns="http://schemas.openxmlformats.org/spreadsheetml/2006/main">
  <authors>
    <author>user</author>
  </authors>
  <commentList>
    <comment ref="H105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районные только за 4 месяца</t>
        </r>
      </text>
    </comment>
    <comment ref="I105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районные только за 4 месяца</t>
        </r>
      </text>
    </comment>
    <comment ref="C106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7601+8601</t>
        </r>
      </text>
    </comment>
    <comment ref="H106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краевые все</t>
        </r>
      </text>
    </comment>
    <comment ref="I106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краевые все</t>
        </r>
      </text>
    </comment>
    <comment ref="A107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нехватает в форме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109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районные только за 4 месяца</t>
        </r>
      </text>
    </comment>
    <comment ref="C110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7601+8601</t>
        </r>
      </text>
    </comment>
    <comment ref="E110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краевые все</t>
        </r>
      </text>
    </comment>
    <comment ref="A111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нехватает в форме</t>
        </r>
      </text>
    </comment>
  </commentList>
</comments>
</file>

<file path=xl/sharedStrings.xml><?xml version="1.0" encoding="utf-8"?>
<sst xmlns="http://schemas.openxmlformats.org/spreadsheetml/2006/main" count="2214" uniqueCount="558">
  <si>
    <t>Наименование публично-правового образования:</t>
  </si>
  <si>
    <t>Бюджет Большеничкинского сельсовета Минусинского района</t>
  </si>
  <si>
    <t/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</si>
  <si>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</si>
  <si>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</si>
  <si>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</si>
  <si>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</si>
  <si>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</si>
  <si>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</si>
  <si>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</si>
  <si>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</si>
  <si>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</si>
  <si>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</si>
  <si>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</si>
  <si>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</si>
  <si>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</si>
  <si>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</si>
  <si>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</si>
  <si>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</si>
  <si>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</si>
  <si>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</si>
  <si>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</si>
  <si>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</si>
  <si>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182 10102010010000 110</t>
  </si>
  <si>
    <t>182 10102010011000 110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</si>
  <si>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</si>
  <si>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</si>
  <si>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</si>
  <si>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</si>
  <si>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</si>
  <si>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</si>
  <si>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</si>
  <si>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</si>
  <si>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</si>
  <si>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</si>
  <si>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</si>
  <si>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</si>
  <si>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</si>
  <si>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</si>
  <si>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</si>
  <si>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</si>
  <si>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</si>
  <si>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</si>
  <si>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</si>
  <si>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</si>
  <si>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</si>
  <si>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</si>
  <si>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</si>
  <si>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</si>
  <si>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</si>
  <si>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</si>
  <si>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</si>
  <si>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</si>
  <si>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</si>
  <si>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</si>
  <si>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</si>
  <si>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</si>
  <si>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</si>
  <si>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</si>
  <si>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</si>
  <si>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</si>
  <si>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</si>
  <si>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</si>
  <si>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</si>
  <si>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</si>
  <si>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</si>
  <si>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</si>
  <si>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</si>
  <si>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</si>
  <si>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</si>
  <si>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804 10800000000000 000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</si>
  <si>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</si>
  <si>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804 10804000010000 110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</si>
  <si>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</si>
  <si>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804 10804020010000 110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</si>
  <si>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</si>
  <si>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804 10804020011000 110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</si>
  <si>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</si>
  <si>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</si>
  <si>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</si>
  <si>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</si>
  <si>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</si>
  <si>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</si>
  <si>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</si>
  <si>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</si>
  <si>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</si>
  <si>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804 11105030000000 120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</si>
  <si>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</si>
  <si>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804 11105035100000 120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</si>
  <si>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</si>
  <si>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</si>
  <si>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</si>
  <si>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815 11406010000000 430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</si>
  <si>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</si>
  <si>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815 11406013100000 430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</si>
  <si>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</si>
  <si>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</si>
  <si>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</si>
  <si>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804 20200000000000 000</t>
  </si>
  <si>
    <t>Дотации бюджетам субъектов Российской Федерации и муниципальных образований</t>
  </si>
  <si>
    <t>804 20201000000000 151</t>
  </si>
  <si>
    <t>Дотации на выравнивание бюджетной обеспеченности</t>
  </si>
  <si>
    <t>804 20201001000000 151</t>
  </si>
  <si>
    <t>Дотации бюджетам поселений на выравнивание бюджетной обеспеченности</t>
  </si>
  <si>
    <t>804 20201001100000 151</t>
  </si>
  <si>
    <t>Дотации бюджетам поселений на выравнивание уровня бюджетной обеспеченности из краевого бюджета.</t>
  </si>
  <si>
    <t>804 20201001107601 151</t>
  </si>
  <si>
    <t>Дотации бюджетам на поддержку мер по обеспечению сбалансированности бюджетов</t>
  </si>
  <si>
    <t>804 20201003000000 151</t>
  </si>
  <si>
    <t>Дотации бюджетам поселений на поддержку мер по обеспечению сбалансированности бюджетов</t>
  </si>
  <si>
    <t>804 20201003100000 151</t>
  </si>
  <si>
    <t>804 20202000000000 151</t>
  </si>
  <si>
    <t>Прочие субсидии</t>
  </si>
  <si>
    <t>804 20202999000000 151</t>
  </si>
  <si>
    <t>Субвенции бюджетам субъектов Российской Федерации и муниципальных образований</t>
  </si>
  <si>
    <t>804 20203000000000 151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</si>
  <si>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</si>
  <si>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804 20203015000000 151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</si>
  <si>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</si>
  <si>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804 20203015100000 151</t>
  </si>
  <si>
    <t>Субвенции местным бюджетам на выполнение передаваемых полномочий субъектов Российской Федерации</t>
  </si>
  <si>
    <t>804 20203024000000 151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</si>
  <si>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власти.</t>
  </si>
  <si>
    <t>804 20203024107514 151</t>
  </si>
  <si>
    <t>Иные межбюджетные трансферты</t>
  </si>
  <si>
    <t>804 20204000000000 151</t>
  </si>
  <si>
    <t>Прочие межбюджетные трансферты, передаваемые бюджетам</t>
  </si>
  <si>
    <t>804 20204999000000 151</t>
  </si>
  <si>
    <t>Прочие межбюджетные трансферты органам местного самоуправления поселений на организацию трудоустройства несовершеннолетних. Организация отдыха и оздоровления детей и подростков, муниципальной программы "Развитие образования Минусинского района на 2014-2016 годы.</t>
  </si>
  <si>
    <t>804 20204999108611 151</t>
  </si>
  <si>
    <t>Код расхода по бюджетной классификации</t>
  </si>
  <si>
    <t>Расходы бюджета - всего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</si>
  <si>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</si>
  <si>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</si>
  <si>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 xml:space="preserve">000 0102 1910010 121 200 </t>
  </si>
  <si>
    <t>Оплата труда и начисления на выплаты по оплате труда</t>
  </si>
  <si>
    <t xml:space="preserve">000 0102 1910010 121 210 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</si>
  <si>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</si>
  <si>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</si>
  <si>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</si>
  <si>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000 0104 1920010 121 200 </t>
  </si>
  <si>
    <t xml:space="preserve">000 0104 1920010 121 210 </t>
  </si>
  <si>
    <t xml:space="preserve">000 0104 1920010 122 000 </t>
  </si>
  <si>
    <t xml:space="preserve">000 0104 1920010 122 200 </t>
  </si>
  <si>
    <t xml:space="preserve">000 0104 1920010 122 210 </t>
  </si>
  <si>
    <t>Прочие выплаты</t>
  </si>
  <si>
    <t xml:space="preserve">000 0104 1920010 122 212 </t>
  </si>
  <si>
    <t>Оплата работ, услуг</t>
  </si>
  <si>
    <t xml:space="preserve">000 0104 1920010 122 220 </t>
  </si>
  <si>
    <t>Транспортные услуги</t>
  </si>
  <si>
    <t xml:space="preserve">000 0104 1920010 122 222 </t>
  </si>
  <si>
    <t>Прочие работы, услуги</t>
  </si>
  <si>
    <t xml:space="preserve">000 0104 1920010 122 226 </t>
  </si>
  <si>
    <t xml:space="preserve">000 0104 1920010 244 220 </t>
  </si>
  <si>
    <t>Услуги связи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</si>
  <si>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</si>
  <si>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</si>
  <si>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</si>
  <si>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</si>
  <si>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Другие общегосударственные вопросы</t>
  </si>
  <si>
    <t xml:space="preserve">000 0113 1940030 244 200 </t>
  </si>
  <si>
    <t xml:space="preserve">000 0113 1940030 244 290 </t>
  </si>
  <si>
    <t xml:space="preserve">000 0113 1957514 244 300 </t>
  </si>
  <si>
    <t xml:space="preserve">000 0113 1957514 244 340 </t>
  </si>
  <si>
    <t>Мобилизационная и вневойсковая подготовка</t>
  </si>
  <si>
    <t xml:space="preserve">000 0203 1965118 121 200 </t>
  </si>
  <si>
    <t xml:space="preserve">000 0203 1965118 121 210 </t>
  </si>
  <si>
    <t xml:space="preserve">000 0203 1965118 244 200 </t>
  </si>
  <si>
    <t xml:space="preserve">000 0203 1965118 244 220 </t>
  </si>
  <si>
    <t xml:space="preserve">000 0203 1965118 244 300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</si>
  <si>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</si>
  <si>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000 0309 1518852 244 200 </t>
  </si>
  <si>
    <t xml:space="preserve">000 0309 1518852 244 220 </t>
  </si>
  <si>
    <t xml:space="preserve">000 0309 1518852 244 300 </t>
  </si>
  <si>
    <t>Увеличение стоимости основных средств</t>
  </si>
  <si>
    <t xml:space="preserve">000 0409 1527508 244 200 </t>
  </si>
  <si>
    <t xml:space="preserve">000 0409 1527508 244 220 </t>
  </si>
  <si>
    <t xml:space="preserve">000 0409 1528508 244 200 </t>
  </si>
  <si>
    <t xml:space="preserve">000 0409 1528508 244 220 </t>
  </si>
  <si>
    <t xml:space="preserve">000 0409 1528866 244 200 </t>
  </si>
  <si>
    <t xml:space="preserve">000 0409 1528866 244 220 </t>
  </si>
  <si>
    <t xml:space="preserve">000 0502 1528864 244 200 </t>
  </si>
  <si>
    <t xml:space="preserve">000 0502 1528864 244 220 </t>
  </si>
  <si>
    <t xml:space="preserve">000 0502 1528869 244 200 </t>
  </si>
  <si>
    <t xml:space="preserve">000 0502 1528869 244 220 </t>
  </si>
  <si>
    <t>Благоустройство</t>
  </si>
  <si>
    <t xml:space="preserve">000 0503 1528861 121 200 </t>
  </si>
  <si>
    <t xml:space="preserve">000 0503 1528861 121 210 </t>
  </si>
  <si>
    <t xml:space="preserve">000 0503 1528861 244 200 </t>
  </si>
  <si>
    <t xml:space="preserve">000 0503 1528861 244 220 </t>
  </si>
  <si>
    <t xml:space="preserve">000 0503 1528862 244 200 </t>
  </si>
  <si>
    <t xml:space="preserve">000 0503 1528862 244 220 </t>
  </si>
  <si>
    <t xml:space="preserve">000 0503 1528863 244 000 </t>
  </si>
  <si>
    <t>Культура</t>
  </si>
  <si>
    <t xml:space="preserve">000 0801 1538883 244 300 </t>
  </si>
  <si>
    <t xml:space="preserve">000 1001 1538221 313 200 </t>
  </si>
  <si>
    <t>Социальное обеспечение</t>
  </si>
  <si>
    <t xml:space="preserve">000 1001 1538221 313 260 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</si>
  <si>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</si>
  <si>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</si>
  <si>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</si>
  <si>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</si>
  <si>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</si>
  <si>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</si>
  <si>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</si>
  <si>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Дотации бюджетам поселений на выравнивание бюджетной обеспеченности из районного бюджета</t>
  </si>
  <si>
    <t>804 20201001108601 151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</si>
  <si>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</si>
  <si>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</si>
  <si>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182 10606013101000 110</t>
  </si>
  <si>
    <t>182 10606013102000 110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</si>
  <si>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</si>
  <si>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</si>
  <si>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</si>
  <si>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</si>
  <si>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</si>
  <si>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Субсидии бюджетам бюджетной системы Российской Федерации (межбюджетные субсидии)</t>
  </si>
  <si>
    <t xml:space="preserve">000 0406 1518856 244 200 </t>
  </si>
  <si>
    <t xml:space="preserve">000 0406 1518856 244 220 </t>
  </si>
  <si>
    <t xml:space="preserve">000 0503 1528861 244 300 </t>
  </si>
  <si>
    <t>000 0503 1528863 852 200</t>
  </si>
  <si>
    <t xml:space="preserve">000 0104 1928502 244 000 </t>
  </si>
  <si>
    <t xml:space="preserve">000 0104 1928502 244 200 </t>
  </si>
  <si>
    <t xml:space="preserve">000 0104 1928502 244 220 </t>
  </si>
  <si>
    <t>000 0104 1928502 244 225</t>
  </si>
  <si>
    <t>000 0309 1930030 244 000</t>
  </si>
  <si>
    <t>000 0309 1930030 244 200</t>
  </si>
  <si>
    <t>000 0309 1930030 244 220</t>
  </si>
  <si>
    <t>000 0309 1930030 244 226</t>
  </si>
  <si>
    <t xml:space="preserve">000 0309 1930030 244 300 </t>
  </si>
  <si>
    <t xml:space="preserve">000 0309 1930030 244 310 </t>
  </si>
  <si>
    <t>804 11701050100000 180</t>
  </si>
  <si>
    <t xml:space="preserve">000 0801 1538883 244 310 </t>
  </si>
  <si>
    <t>Невыясненные поступления, зачисляемые в бюджеты поселений</t>
  </si>
  <si>
    <t>ПРОЧИЕ НЕНАЛОГОВЫЕ ДОХОДЫ</t>
  </si>
  <si>
    <t>804 11701000000000 180</t>
  </si>
  <si>
    <t>804 117 00000000000 000</t>
  </si>
  <si>
    <t>Невыясненные поступления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</si>
  <si>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</si>
  <si>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</si>
  <si>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</si>
  <si>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804 11600000000000 000</t>
  </si>
  <si>
    <t>804 11651000020000 140</t>
  </si>
  <si>
    <t>804 11651040020000 140</t>
  </si>
  <si>
    <t>Прочие неналоговые доходы</t>
  </si>
  <si>
    <t>Прочие неналоговые доходы бюджетов поселений</t>
  </si>
  <si>
    <t>804 11705000000000 180</t>
  </si>
  <si>
    <t>804 11705050100000 180</t>
  </si>
  <si>
    <t xml:space="preserve">000 0113 1940040 244 000 </t>
  </si>
  <si>
    <t xml:space="preserve">000 0113  1940040 244 200 </t>
  </si>
  <si>
    <t xml:space="preserve">000 0113 1940040 244 226 </t>
  </si>
  <si>
    <t>000 0503 1528863 244 300</t>
  </si>
  <si>
    <t>000 0503 1528863 244 310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</si>
  <si>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</si>
  <si>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</si>
  <si>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</si>
  <si>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</si>
  <si>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</si>
  <si>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</si>
  <si>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</si>
  <si>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</si>
  <si>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</si>
  <si>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</si>
  <si>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</si>
  <si>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</si>
  <si>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000 0203 1965118 244 226</t>
  </si>
  <si>
    <t xml:space="preserve">000 0309 1518851 244 300 </t>
  </si>
  <si>
    <t xml:space="preserve">000 0409 1528868  244 200 </t>
  </si>
  <si>
    <t xml:space="preserve">000 0409 1528868  244 220 </t>
  </si>
  <si>
    <t>182 10606033101000 110</t>
  </si>
  <si>
    <t>182 10606033102000 110</t>
  </si>
  <si>
    <t>183 10606033102100 110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</si>
  <si>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</si>
  <si>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</si>
  <si>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</si>
  <si>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(пени, проценты)</t>
  </si>
  <si>
    <t>182 10606043102000 110</t>
  </si>
  <si>
    <t>182 10606043102100 110</t>
  </si>
  <si>
    <t>Земельный налог с организаций, обладающих земельным участком, расположенным в границах сельских поселений (пени, проценты 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</si>
  <si>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</si>
  <si>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</si>
  <si>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000 11400000000000 000</t>
  </si>
  <si>
    <t>000 11406000000000 430</t>
  </si>
  <si>
    <t>Резервные средства</t>
  </si>
  <si>
    <t>000 0111 1930020 870 200</t>
  </si>
  <si>
    <t>000 0111 1930020 870 290</t>
  </si>
  <si>
    <t>804 20202999107508 151</t>
  </si>
  <si>
    <t>804 20202999101021 151</t>
  </si>
  <si>
    <t xml:space="preserve">000 0412 1548891 244 000 </t>
  </si>
  <si>
    <t>Единый сельскохозяйственный налог (пени)</t>
  </si>
  <si>
    <t>182 10503010020000 110</t>
  </si>
  <si>
    <t>182 10503010021000 110</t>
  </si>
  <si>
    <t>182 10606043104000 110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</si>
  <si>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</si>
  <si>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</si>
  <si>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(пени)</t>
  </si>
  <si>
    <t>182 10102010012100 110</t>
  </si>
  <si>
    <t>804 20204999108602 151</t>
  </si>
  <si>
    <t>Прочие межбюджетные трансферты, передаваемые бюджетам поселений</t>
  </si>
  <si>
    <t>804 20204999100000 151</t>
  </si>
  <si>
    <t xml:space="preserve">000 0107 1970050 880 290 </t>
  </si>
  <si>
    <t xml:space="preserve">000 0107 1970050 880 200 </t>
  </si>
  <si>
    <t>182 10102030012000 110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</si>
  <si>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</si>
  <si>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 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</si>
  <si>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  (пени)</t>
  </si>
  <si>
    <t>804 20202999108603 151</t>
  </si>
  <si>
    <t>Прочие межбюджетные трансферты,  бюджетам поселений на приобретение и установку дорожных знаков, нанесение дорожной разметки на автомобильных дорогах местного значения</t>
  </si>
  <si>
    <t>182 10102030010000 110</t>
  </si>
  <si>
    <t>182 10102020011000 110</t>
  </si>
  <si>
    <t>182 10102020012000 110</t>
  </si>
  <si>
    <t>182 10102020012100 110</t>
  </si>
  <si>
    <r>
      <t xml:space="preserve">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</t>
    </r>
    <r>
      <rPr>
        <sz val="8"/>
        <color rgb="FFFF0000"/>
        <rFont val="Arial Cyr"/>
        <charset val="204"/>
      </rPr>
      <t>227.1</t>
    </r>
    <r>
      <rPr>
        <sz val="8"/>
        <rFont val="Arial Cyr"/>
        <family val="2"/>
        <charset val="204"/>
      </rPr>
      <t xml:space="preserve"> и 228 Налогового кодекса Российской Федерации</t>
    </r>
  </si>
  <si>
    <t>Налог на доходы физических лиц, (ИП, нотариусы, адвокаты и пр., занимающиеся частной практикой в соответствии со статьей 227 НК РФ)(перерасчеты, недоимка и задолженность по соответствующему платежу, в том числе по отмененному))  (пени)</t>
  </si>
  <si>
    <t>182 10102020010000 110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</si>
  <si>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</si>
  <si>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</si>
  <si>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отмененному))  (пени, проценты)</t>
  </si>
  <si>
    <t>Прочие поступления от денежных взысканий (штрафов) и иных сумм в возмещение ущерба</t>
  </si>
  <si>
    <t>081 11690000000000 140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</si>
  <si>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</si>
  <si>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081 11690050100000 140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</si>
  <si>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</si>
  <si>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081 11690050106000 140</t>
  </si>
  <si>
    <t xml:space="preserve">ОТЧЕТ ОБ ИСПОЛНЕНИИ БЮДЖЕТА </t>
  </si>
  <si>
    <t>Прочие субсидии бюджетам поселений в рамках подпрограммы «Дороги Красноярья»</t>
  </si>
  <si>
    <t>Прочие субсидии бюджетам поселений на частичное финансирование (возмещение) расходов на региональные выплаты  и выплаты обеспечивающие уровень заработной платы работников  бюджетной сферы</t>
  </si>
  <si>
    <t>Расходы (коммандировочные расходы)</t>
  </si>
  <si>
    <t>Расходы на содержание администрации</t>
  </si>
  <si>
    <r>
      <t xml:space="preserve">Другие общегосударственные вопросы </t>
    </r>
    <r>
      <rPr>
        <sz val="8"/>
        <rFont val="Arial Cyr"/>
        <charset val="204"/>
      </rPr>
      <t>(административные комиссии)</t>
    </r>
  </si>
  <si>
    <r>
      <t>Другие общегосударственные вопросы</t>
    </r>
    <r>
      <rPr>
        <sz val="8"/>
        <rFont val="Arial Cyr"/>
        <charset val="204"/>
      </rPr>
      <t xml:space="preserve"> (целевой взнос)</t>
    </r>
  </si>
  <si>
    <t>Мобилизационная и вневойсковая подготовка (ВУС)</t>
  </si>
  <si>
    <t xml:space="preserve">
Муниципальная программа  
"Социально-экономическое развитие Большеничкинского сельсовета Минусинского района"</t>
  </si>
  <si>
    <t>Подпрограмма 1   «Защита населения и территории Большеничкинского сельсовета от чрезвычайных ситуаций и стихийных бедствий, пожаров»</t>
  </si>
  <si>
    <t xml:space="preserve">Мероприятия по  предупреждению и ликвидации последствий затопления населенных пунктов  </t>
  </si>
  <si>
    <t xml:space="preserve">Мероприятия по предупреждению  возникновения и ликвидации пожаров   населенных пунктов </t>
  </si>
  <si>
    <t xml:space="preserve">Расходы, связанные с эксплуатацией гидротехнических сооружений и обеспечением безопасности гидротехнических сооружений за счёт средств бюджета сельсовета </t>
  </si>
  <si>
    <t xml:space="preserve">
</t>
  </si>
  <si>
    <t>Подпрограмма 2 «Благоустройство и поддержка жилищно-коммунального хозяйства»</t>
  </si>
  <si>
    <t>Содержание автомобильных дорог общего пользования местного значения за счет средств   краевого бюджета</t>
  </si>
  <si>
    <t>Содержание автомобильных дорог общего пользования местного значения за счет средств  бюджета сельсовета в рамках долевого финансирования</t>
  </si>
  <si>
    <t>Содержание автомобильных дорог общего пользования местного значения за счет средств  бюджета сельсовета</t>
  </si>
  <si>
    <t>Разработка проектов организации дорожного движения и схем дислокации дорожных знаков</t>
  </si>
  <si>
    <t>Оказание ритуальных услуг</t>
  </si>
  <si>
    <t xml:space="preserve">Ремонт системы водоснабжения </t>
  </si>
  <si>
    <t xml:space="preserve">Уличное освещение </t>
  </si>
  <si>
    <t>Коммунальные услуги (свет)</t>
  </si>
  <si>
    <t xml:space="preserve">Сбор и вывоз ТБО, ликвидация несанкционированных свалок   </t>
  </si>
  <si>
    <r>
      <t xml:space="preserve">Благоустройство </t>
    </r>
    <r>
      <rPr>
        <sz val="8"/>
        <rFont val="Arial Cyr"/>
        <charset val="204"/>
      </rPr>
      <t>(налоги, экология)</t>
    </r>
  </si>
  <si>
    <t>Подпрограмма 3 «Поддержка и развитие социальной сферы»</t>
  </si>
  <si>
    <t>Доплата к муниципальным пенсиям</t>
  </si>
  <si>
    <t xml:space="preserve">
Подпрограмма 4 «Управление муниципальными финансами»   </t>
  </si>
  <si>
    <t>Выполнение кадастровых работ по образованию земельных участков из земель государственной (муниципальной) собственности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</si>
  <si>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заключенными соглашениями</t>
  </si>
  <si>
    <t>Сайфулина А.В.</t>
  </si>
  <si>
    <t>Главный бухгалтер</t>
  </si>
  <si>
    <t>Автайкина Л.В.</t>
  </si>
  <si>
    <t>Глава администрации</t>
  </si>
  <si>
    <t>*Основание Штатное расписание</t>
  </si>
  <si>
    <t>Примечание :</t>
  </si>
  <si>
    <t>Всего</t>
  </si>
  <si>
    <t>Инспектор ВУС</t>
  </si>
  <si>
    <t>электромантер по ремонту воздушных линий электропередачи 3р.</t>
  </si>
  <si>
    <t>Водитель автомобиля</t>
  </si>
  <si>
    <t>Уборщик служебных помещений</t>
  </si>
  <si>
    <t>Работники администрации</t>
  </si>
  <si>
    <t>Специалист 2кат</t>
  </si>
  <si>
    <t>Главный специалист - зам.главы</t>
  </si>
  <si>
    <t>Муниципальные должности</t>
  </si>
  <si>
    <t>Муниципальные должности и работники администрации</t>
  </si>
  <si>
    <t>Выборная должность                    Глава</t>
  </si>
  <si>
    <t>Фонд оплаты труда</t>
  </si>
  <si>
    <t>Процент исполнения</t>
  </si>
  <si>
    <t>Должность</t>
  </si>
  <si>
    <t>Приложение 1</t>
  </si>
  <si>
    <t xml:space="preserve">за счет средств Администрации Большеничкинского сельсовета Минусинского района </t>
  </si>
  <si>
    <t>Красноярского края</t>
  </si>
  <si>
    <t xml:space="preserve">                                                                                                                                                      ( в рублях)</t>
  </si>
  <si>
    <t>№ п/п</t>
  </si>
  <si>
    <t>Наименование показателей</t>
  </si>
  <si>
    <t xml:space="preserve">Утверждено по бюджету на 2013 год (первоначаль-ный план) </t>
  </si>
  <si>
    <t>процент исполнения к уточненному плану</t>
  </si>
  <si>
    <t>итого</t>
  </si>
  <si>
    <t xml:space="preserve"> Расходы произведенные в рамках средств резервного фонда</t>
  </si>
  <si>
    <t>Резервный фонд</t>
  </si>
  <si>
    <t xml:space="preserve">                          2. Расходы бюджета в том числе в рамках Муниципальной Программы</t>
  </si>
  <si>
    <t>непрограммные</t>
  </si>
  <si>
    <t>в рамках МП:</t>
  </si>
  <si>
    <t xml:space="preserve"> Большеничкинского сельсовета Минусинского района</t>
  </si>
  <si>
    <t>Приложение 2</t>
  </si>
  <si>
    <t>ожидаемый % исполнения за 2015 год</t>
  </si>
  <si>
    <t xml:space="preserve">Приложение № 3 </t>
  </si>
  <si>
    <t>Приложение № 4</t>
  </si>
  <si>
    <t>Количество фактически работающих единиц</t>
  </si>
  <si>
    <t xml:space="preserve">ПРОГНОЗ ИСПОЛНЕНИЯ БЮДЖЕТА  </t>
  </si>
  <si>
    <t>Бюджетные назначения 2015 года с учетом корректировки за 9 мес.</t>
  </si>
  <si>
    <t>Фактическое исполнение 2013 года</t>
  </si>
  <si>
    <t>Фактическое исполнение 2014 года</t>
  </si>
  <si>
    <t>116087,62</t>
  </si>
  <si>
    <t>64097,8</t>
  </si>
  <si>
    <t xml:space="preserve">Земельный налог </t>
  </si>
  <si>
    <t>21019,64</t>
  </si>
  <si>
    <t>387232,24</t>
  </si>
  <si>
    <t>НАЛОГИ НА СОВОКУПНЫЙ ДОХОД   Единый сельскохозяйственный налог</t>
  </si>
  <si>
    <t>Необходимая сумма для сбалансированности доходов и расходов</t>
  </si>
  <si>
    <t>за 2016 год</t>
  </si>
  <si>
    <t>Фактическое исполнение 2015 года</t>
  </si>
  <si>
    <t>081 11651000020000 140</t>
  </si>
  <si>
    <t>Утвержденные бюджетные назначения 2016 года</t>
  </si>
  <si>
    <t>804 20202999107393 151</t>
  </si>
  <si>
    <t>804 20204999107492 151</t>
  </si>
  <si>
    <t>Прочие межбюджетные трансферты, передаваемые бюджетам сельских поселенийна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</si>
  <si>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Доходы бюджета  с учетом корректировки и профицитом 2016- всего</t>
  </si>
  <si>
    <t>Физическая культура и спорт</t>
  </si>
  <si>
    <t xml:space="preserve">000 0102 1920000200 121 000 </t>
  </si>
  <si>
    <t xml:space="preserve">000 0102 1920000200 121 211 </t>
  </si>
  <si>
    <t xml:space="preserve">000 0102 1920000200 129 213 </t>
  </si>
  <si>
    <t xml:space="preserve">000 0104 1920000100 121 000 </t>
  </si>
  <si>
    <t xml:space="preserve">000 0104 1920000100 121 211 </t>
  </si>
  <si>
    <t xml:space="preserve">000 0104 1920000100 129 213 </t>
  </si>
  <si>
    <t xml:space="preserve">000 0104 1920000100 244 000 </t>
  </si>
  <si>
    <t xml:space="preserve">000 0104 1920000100 244 200 </t>
  </si>
  <si>
    <t xml:space="preserve">000 0104 1920000100 244 221 </t>
  </si>
  <si>
    <t xml:space="preserve">000 0104 1920000100 244 225 </t>
  </si>
  <si>
    <t xml:space="preserve">000 0104 1920000100 244 226 </t>
  </si>
  <si>
    <t xml:space="preserve">000 0104 1920000100 244 290 </t>
  </si>
  <si>
    <t xml:space="preserve">000 0104 1920000100 244 300 </t>
  </si>
  <si>
    <t xml:space="preserve">000 0104 1920000100 244 340 </t>
  </si>
  <si>
    <t xml:space="preserve">000 0203 1940051180 121 000 </t>
  </si>
  <si>
    <t xml:space="preserve">000 0203 1940051180 121 211 </t>
  </si>
  <si>
    <t xml:space="preserve">000 0203 1940051180 129 213 </t>
  </si>
  <si>
    <t xml:space="preserve">000 0113 1940075140 244 000 </t>
  </si>
  <si>
    <t xml:space="preserve">000 0113 1940000300 850 000 </t>
  </si>
  <si>
    <t xml:space="preserve">000 0111 1930000200 870 000 </t>
  </si>
  <si>
    <t xml:space="preserve">000 0203 1940051180 244 000 </t>
  </si>
  <si>
    <t xml:space="preserve">000 0203 1940051180 244 225 </t>
  </si>
  <si>
    <t xml:space="preserve">000 0203 1940051180 244 226 </t>
  </si>
  <si>
    <t xml:space="preserve">000 0203 1940051180 244 340 </t>
  </si>
  <si>
    <t xml:space="preserve">000 0309 1510088510 244 000 </t>
  </si>
  <si>
    <t>000 0309 1510088510 244 225</t>
  </si>
  <si>
    <t xml:space="preserve">000 0309 1510088520 244 000 </t>
  </si>
  <si>
    <t xml:space="preserve">000 0309 1510088520 244 225 </t>
  </si>
  <si>
    <t xml:space="preserve">000 0309 1510088520 244 226 </t>
  </si>
  <si>
    <t xml:space="preserve">000 0309 1510088520 244 340 </t>
  </si>
  <si>
    <t xml:space="preserve">000 0406 1510088560 244 000 </t>
  </si>
  <si>
    <t>000 0406 1510088560 244 226</t>
  </si>
  <si>
    <t xml:space="preserve">000 0409 15200S5080 244 000 </t>
  </si>
  <si>
    <t xml:space="preserve">000 0409 15200S5080 244 225 </t>
  </si>
  <si>
    <t xml:space="preserve">000 0409 1520088660 244 000 </t>
  </si>
  <si>
    <t xml:space="preserve">000 0409 1520088660 244 225 </t>
  </si>
  <si>
    <t xml:space="preserve">000 0409 1520088680  244 000 </t>
  </si>
  <si>
    <t>000 0409 1520088680 244 226</t>
  </si>
  <si>
    <t xml:space="preserve">000 0502 1520088640 244 000 </t>
  </si>
  <si>
    <t xml:space="preserve">000 0502 1520088640 244 226 </t>
  </si>
  <si>
    <t xml:space="preserve">000 0502 1520088690 244 000 </t>
  </si>
  <si>
    <t xml:space="preserve">000 0502 1520088690 244 225 </t>
  </si>
  <si>
    <t xml:space="preserve">000 0503 1520088610 121 000 </t>
  </si>
  <si>
    <t xml:space="preserve">000 0503 1520088610 121 211 </t>
  </si>
  <si>
    <t xml:space="preserve">000 0503 1520088610 129 213 </t>
  </si>
  <si>
    <t xml:space="preserve">000 0503 1520088610 244 000 </t>
  </si>
  <si>
    <t xml:space="preserve">000 0503 1520088610 244 223 </t>
  </si>
  <si>
    <t>000 0503 1520088610 244 226</t>
  </si>
  <si>
    <t xml:space="preserve">000 0503 1520088610 244 310 </t>
  </si>
  <si>
    <t>000 0503 1520088610 244 340</t>
  </si>
  <si>
    <t xml:space="preserve">000 0503 1520088620 244 000 </t>
  </si>
  <si>
    <t>000 0503 1520088620 244 225</t>
  </si>
  <si>
    <t xml:space="preserve">000 0503 1520088630 852 000 </t>
  </si>
  <si>
    <t xml:space="preserve">000 0503 1520088630 852 290 </t>
  </si>
  <si>
    <t xml:space="preserve">000 0503 1520088630 244 000 </t>
  </si>
  <si>
    <t xml:space="preserve">000 0503 1520088630 244 340 </t>
  </si>
  <si>
    <t xml:space="preserve">000 0503 1520088650 244 000 </t>
  </si>
  <si>
    <t xml:space="preserve">000 0503 1520088650 244 340 </t>
  </si>
  <si>
    <t xml:space="preserve">000 0801 1530088830 244 000 </t>
  </si>
  <si>
    <t xml:space="preserve">000 0801 1530088830 244 290 </t>
  </si>
  <si>
    <t xml:space="preserve">000 0801 1530088830 244 340 </t>
  </si>
  <si>
    <t xml:space="preserve">000 1001 1530082210 312 000 </t>
  </si>
  <si>
    <t xml:space="preserve">000 1001 1530082210 312 263 </t>
  </si>
  <si>
    <t xml:space="preserve">000 1001 1530088820 244 000 </t>
  </si>
  <si>
    <t xml:space="preserve">000 1001 1530088820 244 300 </t>
  </si>
  <si>
    <t xml:space="preserve">000 1001 1530088820 244 310 </t>
  </si>
  <si>
    <t xml:space="preserve">000 0412 1540088910 244 000 </t>
  </si>
  <si>
    <t xml:space="preserve">000 0412 1540088910 244 226 </t>
  </si>
  <si>
    <t xml:space="preserve"> </t>
  </si>
  <si>
    <t>000 1403 1540086210 540 000</t>
  </si>
  <si>
    <t>000 1403 1540086210 540 251</t>
  </si>
  <si>
    <t xml:space="preserve">000 0309 1510088520 244 310 </t>
  </si>
  <si>
    <t xml:space="preserve">000 0409 1520074920 244 000 </t>
  </si>
  <si>
    <t xml:space="preserve">000 0409 1520073930 244 225 </t>
  </si>
  <si>
    <t xml:space="preserve">000 0409 1520073930 244 000 </t>
  </si>
  <si>
    <t xml:space="preserve">000 0409 1520074920 244 225 </t>
  </si>
  <si>
    <t xml:space="preserve">000 0409 15200S4920 244 000 </t>
  </si>
  <si>
    <t xml:space="preserve">000 0409 15200S4920 244 225 </t>
  </si>
  <si>
    <t xml:space="preserve">000 0503 1520088630 244 310 </t>
  </si>
  <si>
    <t xml:space="preserve">Утверждено по бюджету             на 2016 год </t>
  </si>
  <si>
    <t>804 20204999107393 151</t>
  </si>
  <si>
    <t>Ведущий специалист- бухгалтер</t>
  </si>
  <si>
    <t xml:space="preserve">Благоустройство </t>
  </si>
  <si>
    <t>Ожидаемое исполнение к утвержденному бюджету по состоянию на 31.12.2016г.</t>
  </si>
  <si>
    <t>7</t>
  </si>
  <si>
    <t>8</t>
  </si>
  <si>
    <t>9</t>
  </si>
  <si>
    <t>10</t>
  </si>
  <si>
    <t>4465626,26</t>
  </si>
  <si>
    <t xml:space="preserve">Глава сельсовета </t>
  </si>
  <si>
    <t>А.В. Сайфулина</t>
  </si>
  <si>
    <t>Информация о численности  и финансировании работников администрации Большеничкинского сельсовета Минусинского района Красноярского края на  01.07.2016 год.</t>
  </si>
  <si>
    <t>Штатная численность на 01.07.2016 год</t>
  </si>
  <si>
    <t>Исполнено на 01.07.2016год             всего</t>
  </si>
  <si>
    <t xml:space="preserve">000 0104 1920000100 850 290 </t>
  </si>
  <si>
    <t xml:space="preserve">000 0104 1920000100 244 310 </t>
  </si>
  <si>
    <t>Защита от чрезвычайных ситуаций природного и техногенного характера и обеспечение безопасности населения Красноярского края</t>
  </si>
  <si>
    <t xml:space="preserve">000 0310 1510074120 244 000 </t>
  </si>
  <si>
    <t xml:space="preserve">000 0310 1510074120 244 200 </t>
  </si>
  <si>
    <t>000 0310 1510074120 244 225</t>
  </si>
  <si>
    <t xml:space="preserve">000 0310 1510074120 244 300 </t>
  </si>
  <si>
    <t>000 0310 1510074120 244 310</t>
  </si>
  <si>
    <t xml:space="preserve">000 0503 1520077410 244 310 </t>
  </si>
  <si>
    <t xml:space="preserve">000 0503 1520077410 244 300 </t>
  </si>
  <si>
    <t xml:space="preserve">000 0503 1520077410 244 000 </t>
  </si>
  <si>
    <t>Молодежная политика и оздоровление детей</t>
  </si>
  <si>
    <t xml:space="preserve">000 0707 1530086110 121 000 </t>
  </si>
  <si>
    <t xml:space="preserve">000 0203 1940051180 111 211 </t>
  </si>
  <si>
    <t xml:space="preserve">000 0203 1940051180 119 213 </t>
  </si>
  <si>
    <t xml:space="preserve">000 1001 1530088820 244 200 </t>
  </si>
  <si>
    <t>000 1001 1530088820 244 290</t>
  </si>
  <si>
    <t>010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</si>
  <si>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</t>
    </r>
    <r>
      <rPr>
        <sz val="8"/>
        <color rgb="FFFF0000"/>
        <rFont val="Arial Cyr"/>
        <charset val="204"/>
      </rPr>
      <t>227.1</t>
    </r>
    <r>
      <rPr>
        <sz val="8"/>
        <rFont val="Arial Cyr"/>
        <family val="2"/>
        <charset val="204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</si>
  <si>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</si>
  <si>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</si>
  <si>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183 10102030012000 110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</si>
  <si>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</si>
  <si>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</si>
  <si>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</si>
  <si>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182 10503010012100 110</t>
  </si>
  <si>
    <t>182 10606030000000 110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</si>
  <si>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</si>
  <si>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18210606033102100 110</t>
  </si>
  <si>
    <r>
      <rPr>
        <b/>
        <sz val="8"/>
        <color rgb="FFC00000"/>
        <rFont val="Arial Cyr"/>
        <charset val="204"/>
      </rPr>
      <t>815</t>
    </r>
    <r>
      <rPr>
        <b/>
        <sz val="8"/>
        <rFont val="Arial Cyr"/>
        <family val="2"/>
        <charset val="204"/>
      </rPr>
      <t xml:space="preserve"> 11400000000000 000</t>
    </r>
  </si>
  <si>
    <r>
      <rPr>
        <sz val="8"/>
        <color rgb="FFC00000"/>
        <rFont val="Arial Cyr"/>
        <charset val="204"/>
      </rPr>
      <t>815</t>
    </r>
    <r>
      <rPr>
        <sz val="8"/>
        <rFont val="Arial Cyr"/>
        <family val="2"/>
        <charset val="204"/>
      </rPr>
      <t xml:space="preserve"> 11406000000000 430</t>
    </r>
  </si>
  <si>
    <t>Прочие субсидии бюджетам поселений</t>
  </si>
  <si>
    <t>804 20202999100000 151</t>
  </si>
  <si>
    <t>Прочие межбюджетные трансферты,передаваемые бюджетам поселений из резервного фонда администрации Минусинского района</t>
  </si>
  <si>
    <t>804 20204999100020 151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</si>
  <si>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</si>
  <si>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804 20204999101021 151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</si>
  <si>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</si>
  <si>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Прочие межбюджетные трансферты, передаваемые бюджетам сельских поселений на обеспечение первичных мер пожарной безопасности в 2016 году в рамках гос.программы Красноярского края  «Защита от чрезвычайных ситуаций природного и техногенного характера и обеспечение безопасности населения» </t>
  </si>
  <si>
    <t>804 20204999107412 151</t>
  </si>
  <si>
    <t>Прочие межбюджетные трансферты, передаваемые бюджетам сельских поселенийдля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</si>
  <si>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804 20204999107741 151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</si>
  <si>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</si>
  <si>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межбюджетные трансферты, передаваемые бюджетам сельских поселений на организацию трудоуствойства несовершеннолетних. Организация отдыха и оздоровления детей и подростков, муниципальной программы "Развитие образования Минусинского района на 2014-2016 годы".</t>
  </si>
  <si>
    <t>Исполнено за 6 мес 2016</t>
  </si>
  <si>
    <t xml:space="preserve"> % исполнения за  2 квартал 2016 года</t>
  </si>
  <si>
    <t>на 01.06.2016 г.</t>
  </si>
  <si>
    <t xml:space="preserve">Бюджетные назначения 2016 года с учетомближайшей  корректировки </t>
  </si>
  <si>
    <t>Бюджетные назначения 2016 года с учетом корректировки  Планируемая в ближайшее время</t>
  </si>
  <si>
    <t xml:space="preserve">Бюджетные назначения 2016 года с учетом ближайшей корректировки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</si>
</sst>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50"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Arial Cyr"/>
      <family val="2"/>
      <charset val="204"/>
    </font>
    <font>
      <b/>
      <sz val="8"/>
      <name val="Arial Cyr"/>
      <family val="2"/>
      <charset val="204"/>
    </font>
    <font>
      <i/>
      <sz val="8"/>
      <name val="Arial Cyr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rgb="FFFF0000"/>
      <name val="Arial Cyr"/>
      <charset val="204"/>
    </font>
    <font>
      <sz val="8"/>
      <color theme="3" tint="-0.249977111117893"/>
      <name val="Arial Cyr"/>
      <family val="2"/>
      <charset val="204"/>
    </font>
    <font>
      <sz val="8"/>
      <color rgb="FFC00000"/>
      <name val="Arial Cyr"/>
      <family val="2"/>
      <charset val="204"/>
    </font>
    <font>
      <sz val="8"/>
      <color theme="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FF0000"/>
      <name val="Arial Cyr"/>
      <charset val="204"/>
    </font>
    <font>
      <b/>
      <sz val="8"/>
      <color rgb="FFFF0000"/>
      <name val="Arial Cyr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sz val="8"/>
      <color rgb="FFC00000"/>
      <name val="Arial Cyr"/>
      <charset val="204"/>
    </font>
    <font>
      <sz val="8"/>
      <color rgb="FFC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27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3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Border="1" applyAlignment="1"/>
    <xf numFmtId="4" fontId="3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4" fontId="2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right"/>
    </xf>
    <xf numFmtId="0" fontId="6" fillId="0" borderId="0" xfId="0" applyFont="1"/>
    <xf numFmtId="0" fontId="10" fillId="0" borderId="0" xfId="0" applyFont="1"/>
    <xf numFmtId="4" fontId="0" fillId="0" borderId="0" xfId="0" applyNumberFormat="1"/>
    <xf numFmtId="0" fontId="0" fillId="2" borderId="0" xfId="0" applyFill="1"/>
    <xf numFmtId="49" fontId="0" fillId="2" borderId="0" xfId="0" applyNumberFormat="1" applyFill="1"/>
    <xf numFmtId="49" fontId="2" fillId="2" borderId="0" xfId="0" applyNumberFormat="1" applyFont="1" applyFill="1"/>
    <xf numFmtId="4" fontId="2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5" fillId="2" borderId="5" xfId="0" applyNumberFormat="1" applyFont="1" applyFill="1" applyBorder="1" applyAlignment="1">
      <alignment horizontal="right"/>
    </xf>
    <xf numFmtId="0" fontId="18" fillId="0" borderId="0" xfId="0" applyFont="1"/>
    <xf numFmtId="4" fontId="7" fillId="0" borderId="5" xfId="0" applyNumberFormat="1" applyFont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Font="1"/>
    <xf numFmtId="49" fontId="2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0" fontId="2" fillId="0" borderId="5" xfId="0" applyNumberFormat="1" applyFont="1" applyBorder="1" applyAlignment="1">
      <alignment horizontal="left" wrapText="1"/>
    </xf>
    <xf numFmtId="4" fontId="2" fillId="0" borderId="5" xfId="1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right"/>
    </xf>
    <xf numFmtId="49" fontId="14" fillId="0" borderId="5" xfId="0" applyNumberFormat="1" applyFont="1" applyBorder="1" applyAlignment="1">
      <alignment horizontal="left" wrapText="1"/>
    </xf>
    <xf numFmtId="49" fontId="15" fillId="0" borderId="5" xfId="0" applyNumberFormat="1" applyFont="1" applyBorder="1" applyAlignment="1">
      <alignment horizontal="left" wrapText="1"/>
    </xf>
    <xf numFmtId="49" fontId="15" fillId="0" borderId="5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left" wrapText="1"/>
    </xf>
    <xf numFmtId="49" fontId="2" fillId="0" borderId="5" xfId="1" applyNumberFormat="1" applyFont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right"/>
    </xf>
    <xf numFmtId="4" fontId="16" fillId="0" borderId="5" xfId="1" applyNumberFormat="1" applyFont="1" applyBorder="1" applyAlignment="1">
      <alignment horizontal="right"/>
    </xf>
    <xf numFmtId="49" fontId="15" fillId="2" borderId="5" xfId="0" applyNumberFormat="1" applyFont="1" applyFill="1" applyBorder="1" applyAlignment="1">
      <alignment horizont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center" wrapText="1"/>
    </xf>
    <xf numFmtId="49" fontId="17" fillId="0" borderId="5" xfId="0" applyNumberFormat="1" applyFont="1" applyBorder="1" applyAlignment="1">
      <alignment horizontal="center"/>
    </xf>
    <xf numFmtId="4" fontId="17" fillId="2" borderId="5" xfId="0" applyNumberFormat="1" applyFont="1" applyFill="1" applyBorder="1" applyAlignment="1">
      <alignment horizontal="right"/>
    </xf>
    <xf numFmtId="49" fontId="15" fillId="2" borderId="5" xfId="0" applyNumberFormat="1" applyFont="1" applyFill="1" applyBorder="1" applyAlignment="1">
      <alignment horizontal="left" wrapText="1"/>
    </xf>
    <xf numFmtId="49" fontId="15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right"/>
    </xf>
    <xf numFmtId="4" fontId="16" fillId="2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6" fillId="0" borderId="0" xfId="0" applyFont="1"/>
    <xf numFmtId="0" fontId="0" fillId="2" borderId="0" xfId="0" applyFont="1" applyFill="1"/>
    <xf numFmtId="0" fontId="5" fillId="0" borderId="0" xfId="1"/>
    <xf numFmtId="3" fontId="5" fillId="0" borderId="0" xfId="1" applyNumberFormat="1" applyAlignment="1">
      <alignment wrapText="1"/>
    </xf>
    <xf numFmtId="0" fontId="5" fillId="0" borderId="0" xfId="1" applyAlignment="1">
      <alignment wrapText="1"/>
    </xf>
    <xf numFmtId="0" fontId="28" fillId="0" borderId="0" xfId="1" applyFont="1"/>
    <xf numFmtId="0" fontId="28" fillId="0" borderId="8" xfId="1" applyFont="1" applyBorder="1"/>
    <xf numFmtId="0" fontId="28" fillId="0" borderId="0" xfId="1" applyFont="1" applyAlignment="1">
      <alignment wrapText="1"/>
    </xf>
    <xf numFmtId="4" fontId="29" fillId="0" borderId="5" xfId="1" applyNumberFormat="1" applyFont="1" applyBorder="1"/>
    <xf numFmtId="1" fontId="30" fillId="0" borderId="5" xfId="1" applyNumberFormat="1" applyFont="1" applyBorder="1"/>
    <xf numFmtId="0" fontId="30" fillId="0" borderId="5" xfId="1" applyFont="1" applyBorder="1"/>
    <xf numFmtId="0" fontId="30" fillId="0" borderId="5" xfId="1" applyFont="1" applyBorder="1" applyAlignment="1">
      <alignment wrapText="1"/>
    </xf>
    <xf numFmtId="4" fontId="29" fillId="3" borderId="5" xfId="1" applyNumberFormat="1" applyFont="1" applyFill="1" applyBorder="1"/>
    <xf numFmtId="3" fontId="29" fillId="3" borderId="5" xfId="1" applyNumberFormat="1" applyFont="1" applyFill="1" applyBorder="1" applyAlignment="1">
      <alignment wrapText="1"/>
    </xf>
    <xf numFmtId="0" fontId="29" fillId="3" borderId="5" xfId="1" applyFont="1" applyFill="1" applyBorder="1"/>
    <xf numFmtId="0" fontId="29" fillId="3" borderId="5" xfId="1" applyFont="1" applyFill="1" applyBorder="1" applyAlignment="1">
      <alignment wrapText="1"/>
    </xf>
    <xf numFmtId="3" fontId="28" fillId="0" borderId="5" xfId="1" applyNumberFormat="1" applyFont="1" applyBorder="1" applyAlignment="1">
      <alignment wrapText="1"/>
    </xf>
    <xf numFmtId="0" fontId="28" fillId="0" borderId="5" xfId="1" applyFont="1" applyBorder="1"/>
    <xf numFmtId="0" fontId="28" fillId="0" borderId="5" xfId="1" applyFont="1" applyBorder="1" applyAlignment="1">
      <alignment wrapText="1"/>
    </xf>
    <xf numFmtId="0" fontId="28" fillId="0" borderId="5" xfId="1" applyFont="1" applyFill="1" applyBorder="1" applyAlignment="1">
      <alignment wrapText="1"/>
    </xf>
    <xf numFmtId="0" fontId="25" fillId="2" borderId="0" xfId="1" applyFont="1" applyFill="1"/>
    <xf numFmtId="0" fontId="5" fillId="0" borderId="0" xfId="1" applyBorder="1"/>
    <xf numFmtId="0" fontId="32" fillId="0" borderId="0" xfId="1" applyFont="1" applyFill="1" applyBorder="1" applyAlignment="1">
      <alignment wrapText="1"/>
    </xf>
    <xf numFmtId="0" fontId="25" fillId="0" borderId="0" xfId="1" applyFont="1"/>
    <xf numFmtId="0" fontId="3" fillId="0" borderId="0" xfId="1" applyFont="1" applyAlignment="1">
      <alignment horizontal="center"/>
    </xf>
    <xf numFmtId="3" fontId="28" fillId="0" borderId="5" xfId="1" applyNumberFormat="1" applyFont="1" applyBorder="1" applyAlignment="1">
      <alignment horizontal="center" wrapText="1"/>
    </xf>
    <xf numFmtId="0" fontId="28" fillId="0" borderId="5" xfId="1" applyFont="1" applyBorder="1" applyAlignment="1">
      <alignment horizontal="center"/>
    </xf>
    <xf numFmtId="0" fontId="28" fillId="0" borderId="5" xfId="1" applyFont="1" applyBorder="1" applyAlignment="1">
      <alignment horizontal="center" wrapText="1"/>
    </xf>
    <xf numFmtId="0" fontId="29" fillId="0" borderId="8" xfId="1" applyFont="1" applyBorder="1" applyAlignment="1">
      <alignment horizontal="center" wrapText="1"/>
    </xf>
    <xf numFmtId="0" fontId="32" fillId="0" borderId="0" xfId="1" applyFont="1" applyAlignment="1">
      <alignment horizontal="right" indent="1"/>
    </xf>
    <xf numFmtId="0" fontId="32" fillId="0" borderId="0" xfId="1" applyFont="1" applyAlignment="1">
      <alignment horizontal="right"/>
    </xf>
    <xf numFmtId="0" fontId="33" fillId="0" borderId="0" xfId="1" applyFont="1" applyAlignment="1">
      <alignment horizontal="right"/>
    </xf>
    <xf numFmtId="0" fontId="32" fillId="0" borderId="0" xfId="1" applyFont="1" applyAlignment="1">
      <alignment horizontal="right" indent="15"/>
    </xf>
    <xf numFmtId="0" fontId="32" fillId="0" borderId="0" xfId="1" applyFont="1" applyAlignment="1">
      <alignment horizontal="justify"/>
    </xf>
    <xf numFmtId="0" fontId="34" fillId="0" borderId="5" xfId="1" applyFont="1" applyBorder="1" applyAlignment="1">
      <alignment horizontal="justify" vertical="top" wrapText="1"/>
    </xf>
    <xf numFmtId="4" fontId="34" fillId="0" borderId="6" xfId="1" applyNumberFormat="1" applyFont="1" applyBorder="1" applyAlignment="1">
      <alignment horizontal="justify" vertical="top" wrapText="1"/>
    </xf>
    <xf numFmtId="4" fontId="34" fillId="0" borderId="5" xfId="1" applyNumberFormat="1" applyFont="1" applyBorder="1" applyAlignment="1">
      <alignment horizontal="center" vertical="top" wrapText="1"/>
    </xf>
    <xf numFmtId="9" fontId="34" fillId="0" borderId="5" xfId="2" applyFont="1" applyBorder="1" applyAlignment="1">
      <alignment horizontal="center" vertical="top" wrapText="1"/>
    </xf>
    <xf numFmtId="0" fontId="34" fillId="0" borderId="3" xfId="1" applyFont="1" applyBorder="1" applyAlignment="1">
      <alignment horizontal="justify" vertical="top" wrapText="1"/>
    </xf>
    <xf numFmtId="4" fontId="34" fillId="0" borderId="5" xfId="1" applyNumberFormat="1" applyFont="1" applyBorder="1" applyAlignment="1">
      <alignment horizontal="justify" vertical="top" wrapText="1"/>
    </xf>
    <xf numFmtId="0" fontId="32" fillId="0" borderId="0" xfId="1" applyFont="1"/>
    <xf numFmtId="0" fontId="34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49" fontId="35" fillId="0" borderId="5" xfId="0" applyNumberFormat="1" applyFont="1" applyBorder="1" applyAlignment="1">
      <alignment horizontal="left" wrapText="1"/>
    </xf>
    <xf numFmtId="49" fontId="35" fillId="0" borderId="5" xfId="0" applyNumberFormat="1" applyFont="1" applyBorder="1" applyAlignment="1">
      <alignment horizontal="center" wrapText="1"/>
    </xf>
    <xf numFmtId="4" fontId="36" fillId="2" borderId="5" xfId="0" applyNumberFormat="1" applyFont="1" applyFill="1" applyBorder="1" applyAlignment="1">
      <alignment horizontal="right"/>
    </xf>
    <xf numFmtId="4" fontId="35" fillId="0" borderId="5" xfId="0" applyNumberFormat="1" applyFont="1" applyBorder="1" applyAlignment="1">
      <alignment horizontal="right"/>
    </xf>
    <xf numFmtId="49" fontId="36" fillId="0" borderId="5" xfId="0" applyNumberFormat="1" applyFont="1" applyBorder="1" applyAlignment="1">
      <alignment horizontal="left" wrapText="1"/>
    </xf>
    <xf numFmtId="49" fontId="36" fillId="0" borderId="5" xfId="0" applyNumberFormat="1" applyFont="1" applyBorder="1" applyAlignment="1">
      <alignment horizontal="center" wrapText="1"/>
    </xf>
    <xf numFmtId="4" fontId="25" fillId="2" borderId="5" xfId="0" applyNumberFormat="1" applyFont="1" applyFill="1" applyBorder="1" applyAlignment="1">
      <alignment horizontal="right"/>
    </xf>
    <xf numFmtId="4" fontId="25" fillId="0" borderId="5" xfId="0" applyNumberFormat="1" applyFont="1" applyBorder="1" applyAlignment="1">
      <alignment horizontal="right"/>
    </xf>
    <xf numFmtId="0" fontId="37" fillId="0" borderId="0" xfId="0" applyFont="1"/>
    <xf numFmtId="49" fontId="5" fillId="0" borderId="5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4" fontId="38" fillId="0" borderId="0" xfId="0" applyNumberFormat="1" applyFont="1"/>
    <xf numFmtId="0" fontId="38" fillId="0" borderId="0" xfId="0" applyFont="1"/>
    <xf numFmtId="0" fontId="39" fillId="4" borderId="5" xfId="0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/>
    </xf>
    <xf numFmtId="4" fontId="41" fillId="4" borderId="5" xfId="0" applyNumberFormat="1" applyFont="1" applyFill="1" applyBorder="1" applyAlignment="1">
      <alignment horizontal="right"/>
    </xf>
    <xf numFmtId="0" fontId="39" fillId="4" borderId="5" xfId="0" applyFont="1" applyFill="1" applyBorder="1"/>
    <xf numFmtId="0" fontId="3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0" fontId="0" fillId="0" borderId="0" xfId="0" applyAlignment="1"/>
    <xf numFmtId="4" fontId="38" fillId="0" borderId="5" xfId="0" applyNumberFormat="1" applyFont="1" applyBorder="1"/>
    <xf numFmtId="4" fontId="0" fillId="0" borderId="5" xfId="0" applyNumberFormat="1" applyBorder="1"/>
    <xf numFmtId="0" fontId="6" fillId="0" borderId="5" xfId="0" applyFont="1" applyBorder="1"/>
    <xf numFmtId="0" fontId="23" fillId="0" borderId="5" xfId="0" applyFont="1" applyBorder="1"/>
    <xf numFmtId="4" fontId="6" fillId="0" borderId="5" xfId="0" applyNumberFormat="1" applyFont="1" applyBorder="1"/>
    <xf numFmtId="0" fontId="10" fillId="0" borderId="5" xfId="0" applyFont="1" applyBorder="1"/>
    <xf numFmtId="0" fontId="0" fillId="2" borderId="5" xfId="0" applyFill="1" applyBorder="1"/>
    <xf numFmtId="0" fontId="37" fillId="0" borderId="5" xfId="0" applyFont="1" applyBorder="1"/>
    <xf numFmtId="0" fontId="0" fillId="0" borderId="5" xfId="0" applyFont="1" applyBorder="1"/>
    <xf numFmtId="0" fontId="22" fillId="0" borderId="5" xfId="0" applyFont="1" applyBorder="1"/>
    <xf numFmtId="0" fontId="18" fillId="0" borderId="5" xfId="0" applyFont="1" applyBorder="1"/>
    <xf numFmtId="0" fontId="21" fillId="0" borderId="5" xfId="0" applyFont="1" applyBorder="1"/>
    <xf numFmtId="0" fontId="26" fillId="0" borderId="5" xfId="0" applyFont="1" applyBorder="1"/>
    <xf numFmtId="0" fontId="0" fillId="2" borderId="5" xfId="0" applyFont="1" applyFill="1" applyBorder="1"/>
    <xf numFmtId="4" fontId="2" fillId="4" borderId="5" xfId="1" applyNumberFormat="1" applyFont="1" applyFill="1" applyBorder="1" applyAlignment="1">
      <alignment horizontal="right"/>
    </xf>
    <xf numFmtId="4" fontId="0" fillId="0" borderId="5" xfId="0" applyNumberFormat="1" applyFont="1" applyBorder="1"/>
    <xf numFmtId="4" fontId="4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49" fontId="19" fillId="0" borderId="5" xfId="0" applyNumberFormat="1" applyFont="1" applyBorder="1" applyAlignment="1">
      <alignment horizontal="left" wrapText="1"/>
    </xf>
    <xf numFmtId="49" fontId="20" fillId="0" borderId="5" xfId="0" applyNumberFormat="1" applyFont="1" applyBorder="1" applyAlignment="1">
      <alignment horizontal="center" wrapText="1"/>
    </xf>
    <xf numFmtId="4" fontId="19" fillId="0" borderId="5" xfId="0" applyNumberFormat="1" applyFont="1" applyBorder="1" applyAlignment="1">
      <alignment horizontal="right"/>
    </xf>
    <xf numFmtId="4" fontId="20" fillId="0" borderId="5" xfId="0" applyNumberFormat="1" applyFont="1" applyBorder="1" applyAlignment="1">
      <alignment horizontal="right"/>
    </xf>
    <xf numFmtId="49" fontId="19" fillId="0" borderId="5" xfId="0" applyNumberFormat="1" applyFont="1" applyBorder="1" applyAlignment="1">
      <alignment horizontal="center" wrapText="1"/>
    </xf>
    <xf numFmtId="49" fontId="19" fillId="0" borderId="5" xfId="0" applyNumberFormat="1" applyFont="1" applyBorder="1" applyAlignment="1">
      <alignment horizontal="center"/>
    </xf>
    <xf numFmtId="4" fontId="20" fillId="2" borderId="5" xfId="0" applyNumberFormat="1" applyFont="1" applyFill="1" applyBorder="1" applyAlignment="1">
      <alignment horizontal="right"/>
    </xf>
    <xf numFmtId="4" fontId="13" fillId="2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left" wrapText="1"/>
    </xf>
    <xf numFmtId="2" fontId="31" fillId="3" borderId="5" xfId="1" applyNumberFormat="1" applyFont="1" applyFill="1" applyBorder="1" applyAlignment="1">
      <alignment vertical="center"/>
    </xf>
    <xf numFmtId="4" fontId="29" fillId="3" borderId="5" xfId="1" applyNumberFormat="1" applyFont="1" applyFill="1" applyBorder="1" applyAlignment="1"/>
    <xf numFmtId="2" fontId="5" fillId="0" borderId="0" xfId="1" applyNumberFormat="1"/>
    <xf numFmtId="2" fontId="32" fillId="0" borderId="0" xfId="1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2" fontId="25" fillId="0" borderId="0" xfId="1" applyNumberFormat="1" applyFont="1"/>
    <xf numFmtId="4" fontId="25" fillId="0" borderId="0" xfId="1" applyNumberFormat="1" applyFont="1"/>
    <xf numFmtId="4" fontId="25" fillId="2" borderId="0" xfId="1" applyNumberFormat="1" applyFont="1" applyFill="1"/>
    <xf numFmtId="0" fontId="1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/>
    <xf numFmtId="4" fontId="8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4" fontId="15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0" borderId="0" xfId="0" applyNumberFormat="1" applyFont="1"/>
    <xf numFmtId="4" fontId="40" fillId="4" borderId="5" xfId="0" applyNumberFormat="1" applyFont="1" applyFill="1" applyBorder="1" applyAlignment="1">
      <alignment wrapText="1"/>
    </xf>
    <xf numFmtId="4" fontId="0" fillId="0" borderId="5" xfId="0" applyNumberForma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4" borderId="5" xfId="0" applyNumberForma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4" fontId="4" fillId="2" borderId="5" xfId="1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4" fontId="16" fillId="2" borderId="5" xfId="1" applyNumberFormat="1" applyFont="1" applyFill="1" applyBorder="1" applyAlignment="1">
      <alignment horizontal="right"/>
    </xf>
    <xf numFmtId="4" fontId="4" fillId="5" borderId="5" xfId="0" applyNumberFormat="1" applyFont="1" applyFill="1" applyBorder="1" applyAlignment="1">
      <alignment horizontal="right"/>
    </xf>
    <xf numFmtId="4" fontId="2" fillId="5" borderId="5" xfId="0" applyNumberFormat="1" applyFont="1" applyFill="1" applyBorder="1" applyAlignment="1">
      <alignment horizontal="right"/>
    </xf>
    <xf numFmtId="0" fontId="0" fillId="5" borderId="0" xfId="0" applyFill="1"/>
    <xf numFmtId="0" fontId="4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4" fillId="5" borderId="5" xfId="0" applyNumberFormat="1" applyFont="1" applyFill="1" applyBorder="1" applyAlignment="1">
      <alignment horizontal="left" wrapText="1"/>
    </xf>
    <xf numFmtId="49" fontId="2" fillId="5" borderId="5" xfId="0" applyNumberFormat="1" applyFont="1" applyFill="1" applyBorder="1" applyAlignment="1">
      <alignment horizontal="left" wrapText="1"/>
    </xf>
    <xf numFmtId="49" fontId="4" fillId="5" borderId="5" xfId="0" applyNumberFormat="1" applyFont="1" applyFill="1" applyBorder="1" applyAlignment="1">
      <alignment horizontal="center"/>
    </xf>
    <xf numFmtId="49" fontId="4" fillId="5" borderId="5" xfId="0" applyNumberFormat="1" applyFont="1" applyFill="1" applyBorder="1" applyAlignment="1">
      <alignment horizontal="center" wrapText="1"/>
    </xf>
    <xf numFmtId="0" fontId="0" fillId="5" borderId="5" xfId="0" applyFill="1" applyBorder="1"/>
    <xf numFmtId="49" fontId="2" fillId="5" borderId="5" xfId="0" applyNumberFormat="1" applyFont="1" applyFill="1" applyBorder="1" applyAlignment="1">
      <alignment horizontal="center" wrapText="1"/>
    </xf>
    <xf numFmtId="0" fontId="0" fillId="5" borderId="0" xfId="0" applyFont="1" applyFill="1"/>
    <xf numFmtId="49" fontId="2" fillId="5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3" fillId="2" borderId="5" xfId="0" applyFont="1" applyFill="1" applyBorder="1"/>
    <xf numFmtId="0" fontId="23" fillId="2" borderId="0" xfId="0" applyFont="1" applyFill="1"/>
    <xf numFmtId="0" fontId="18" fillId="2" borderId="0" xfId="0" applyFont="1" applyFill="1"/>
    <xf numFmtId="165" fontId="2" fillId="2" borderId="5" xfId="0" applyNumberFormat="1" applyFont="1" applyFill="1" applyBorder="1" applyAlignment="1">
      <alignment horizontal="left" wrapText="1"/>
    </xf>
    <xf numFmtId="4" fontId="44" fillId="0" borderId="0" xfId="0" applyNumberFormat="1" applyFont="1"/>
    <xf numFmtId="0" fontId="44" fillId="0" borderId="0" xfId="0" applyFont="1"/>
    <xf numFmtId="4" fontId="16" fillId="0" borderId="0" xfId="0" applyNumberFormat="1" applyFont="1"/>
    <xf numFmtId="4" fontId="45" fillId="0" borderId="0" xfId="0" applyNumberFormat="1" applyFont="1"/>
    <xf numFmtId="49" fontId="2" fillId="2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46" fillId="0" borderId="0" xfId="0" applyFont="1"/>
    <xf numFmtId="49" fontId="28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2" borderId="5" xfId="0" applyNumberFormat="1" applyFont="1" applyFill="1" applyBorder="1" applyAlignment="1">
      <alignment horizontal="left" wrapText="1"/>
    </xf>
    <xf numFmtId="165" fontId="7" fillId="2" borderId="5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center" wrapText="1"/>
    </xf>
    <xf numFmtId="4" fontId="6" fillId="2" borderId="0" xfId="0" applyNumberFormat="1" applyFont="1" applyFill="1"/>
    <xf numFmtId="49" fontId="14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0" fillId="2" borderId="0" xfId="0" applyFont="1" applyFill="1"/>
    <xf numFmtId="49" fontId="2" fillId="2" borderId="5" xfId="1" applyNumberFormat="1" applyFont="1" applyFill="1" applyBorder="1" applyAlignment="1">
      <alignment horizontal="left" wrapText="1"/>
    </xf>
    <xf numFmtId="49" fontId="2" fillId="2" borderId="5" xfId="1" applyNumberFormat="1" applyFont="1" applyFill="1" applyBorder="1" applyAlignment="1">
      <alignment horizontal="center" wrapText="1"/>
    </xf>
    <xf numFmtId="49" fontId="2" fillId="2" borderId="5" xfId="1" applyNumberFormat="1" applyFont="1" applyFill="1" applyBorder="1" applyAlignment="1">
      <alignment horizontal="center"/>
    </xf>
    <xf numFmtId="49" fontId="47" fillId="2" borderId="5" xfId="0" applyNumberFormat="1" applyFont="1" applyFill="1" applyBorder="1" applyAlignment="1">
      <alignment horizontal="left" wrapText="1"/>
    </xf>
    <xf numFmtId="49" fontId="47" fillId="2" borderId="5" xfId="0" applyNumberFormat="1" applyFont="1" applyFill="1" applyBorder="1" applyAlignment="1">
      <alignment horizontal="center" wrapText="1"/>
    </xf>
    <xf numFmtId="49" fontId="47" fillId="2" borderId="5" xfId="0" applyNumberFormat="1" applyFont="1" applyFill="1" applyBorder="1" applyAlignment="1">
      <alignment horizontal="center"/>
    </xf>
    <xf numFmtId="4" fontId="47" fillId="2" borderId="5" xfId="0" applyNumberFormat="1" applyFont="1" applyFill="1" applyBorder="1" applyAlignment="1">
      <alignment horizontal="right"/>
    </xf>
    <xf numFmtId="0" fontId="26" fillId="2" borderId="0" xfId="0" applyFont="1" applyFill="1"/>
    <xf numFmtId="0" fontId="22" fillId="2" borderId="0" xfId="0" applyFont="1" applyFill="1"/>
    <xf numFmtId="49" fontId="17" fillId="2" borderId="5" xfId="0" applyNumberFormat="1" applyFont="1" applyFill="1" applyBorder="1" applyAlignment="1">
      <alignment horizontal="left" wrapText="1"/>
    </xf>
    <xf numFmtId="49" fontId="17" fillId="2" borderId="5" xfId="0" applyNumberFormat="1" applyFont="1" applyFill="1" applyBorder="1" applyAlignment="1">
      <alignment horizontal="center" wrapText="1"/>
    </xf>
    <xf numFmtId="49" fontId="17" fillId="2" borderId="5" xfId="0" applyNumberFormat="1" applyFont="1" applyFill="1" applyBorder="1" applyAlignment="1">
      <alignment horizontal="center"/>
    </xf>
    <xf numFmtId="0" fontId="0" fillId="2" borderId="0" xfId="0" applyFill="1" applyBorder="1"/>
    <xf numFmtId="0" fontId="22" fillId="0" borderId="0" xfId="0" applyFont="1" applyBorder="1"/>
    <xf numFmtId="0" fontId="23" fillId="0" borderId="0" xfId="0" applyFont="1" applyBorder="1"/>
    <xf numFmtId="11" fontId="2" fillId="0" borderId="5" xfId="0" applyNumberFormat="1" applyFont="1" applyBorder="1" applyAlignment="1">
      <alignment horizontal="left" wrapText="1"/>
    </xf>
    <xf numFmtId="0" fontId="0" fillId="0" borderId="0" xfId="0" applyBorder="1"/>
    <xf numFmtId="4" fontId="0" fillId="2" borderId="5" xfId="0" applyNumberFormat="1" applyFill="1" applyBorder="1"/>
    <xf numFmtId="49" fontId="3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  <xf numFmtId="3" fontId="5" fillId="0" borderId="0" xfId="1" applyNumberFormat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left"/>
    </xf>
    <xf numFmtId="0" fontId="39" fillId="4" borderId="1" xfId="0" applyFont="1" applyFill="1" applyBorder="1" applyAlignment="1">
      <alignment horizontal="left"/>
    </xf>
    <xf numFmtId="0" fontId="39" fillId="4" borderId="6" xfId="0" applyFont="1" applyFill="1" applyBorder="1" applyAlignment="1">
      <alignment horizontal="left"/>
    </xf>
    <xf numFmtId="0" fontId="26" fillId="0" borderId="5" xfId="0" applyFont="1" applyBorder="1" applyAlignment="1">
      <alignment horizontal="left" wrapText="1"/>
    </xf>
    <xf numFmtId="49" fontId="25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1" applyAlignment="1"/>
    <xf numFmtId="0" fontId="34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34" fillId="0" borderId="7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Тысячи [0]_Лист1" xfId="3"/>
    <cellStyle name="Тысячи_Лист1" xfId="4"/>
  </cellStyles>
  <dxfs count="6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79;.&#1087;&#1083;&#1072;&#1090;&#1099;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3)"/>
      <sheetName val="Лист2"/>
    </sheetNames>
    <sheetDataSet>
      <sheetData sheetId="0"/>
      <sheetData sheetId="1">
        <row r="35">
          <cell r="P35">
            <v>21962.5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opLeftCell="A129" zoomScale="85" zoomScaleNormal="85" workbookViewId="0">
      <selection activeCell="C132" sqref="C132"/>
    </sheetView>
  </sheetViews>
  <sheetFormatPr defaultRowHeight="15"/>
  <cols>
    <col min="1" max="1" width="33" customWidth="1"/>
    <col min="2" max="2" width="3.85546875" customWidth="1"/>
    <col min="3" max="3" width="18.7109375" customWidth="1"/>
    <col min="4" max="4" width="14.5703125" hidden="1" customWidth="1"/>
    <col min="5" max="5" width="11.42578125" customWidth="1"/>
    <col min="6" max="6" width="12" style="25" customWidth="1"/>
    <col min="7" max="7" width="12.28515625" style="25" customWidth="1"/>
    <col min="8" max="8" width="12" style="25" customWidth="1"/>
    <col min="9" max="9" width="11.5703125" style="25" customWidth="1"/>
    <col min="10" max="10" width="8.140625" style="25" customWidth="1"/>
    <col min="11" max="11" width="12" customWidth="1"/>
    <col min="12" max="12" width="12.140625" hidden="1" customWidth="1"/>
    <col min="13" max="13" width="15.28515625" customWidth="1"/>
    <col min="14" max="14" width="9.85546875" bestFit="1" customWidth="1"/>
  </cols>
  <sheetData>
    <row r="1" spans="1:14">
      <c r="A1" s="300"/>
      <c r="B1" s="300"/>
      <c r="C1" s="300"/>
      <c r="D1" s="300"/>
      <c r="E1" s="300"/>
      <c r="F1" s="300"/>
      <c r="G1" s="226"/>
      <c r="H1" s="301" t="s">
        <v>374</v>
      </c>
      <c r="I1" s="301"/>
      <c r="J1" s="301"/>
      <c r="K1" s="301"/>
    </row>
    <row r="2" spans="1:14">
      <c r="A2" s="300" t="s">
        <v>394</v>
      </c>
      <c r="B2" s="300"/>
      <c r="C2" s="300"/>
      <c r="D2" s="300"/>
      <c r="E2" s="300"/>
      <c r="F2" s="300"/>
      <c r="G2" s="226"/>
      <c r="H2" s="222"/>
      <c r="I2" s="222"/>
      <c r="J2" s="222"/>
      <c r="K2" s="80"/>
    </row>
    <row r="3" spans="1:14" ht="18.75">
      <c r="A3" s="303" t="s">
        <v>388</v>
      </c>
      <c r="B3" s="303"/>
      <c r="C3" s="303"/>
      <c r="D3" s="303"/>
      <c r="E3" s="303"/>
      <c r="F3" s="303"/>
      <c r="G3" s="303"/>
      <c r="H3" s="303"/>
      <c r="I3" s="232"/>
      <c r="J3" s="232"/>
      <c r="K3" s="154"/>
    </row>
    <row r="4" spans="1:14">
      <c r="A4" s="305" t="s">
        <v>405</v>
      </c>
      <c r="B4" s="305"/>
      <c r="C4" s="305"/>
      <c r="D4" s="305"/>
      <c r="E4" s="305"/>
      <c r="F4" s="305"/>
      <c r="G4" s="305"/>
      <c r="H4" s="305"/>
      <c r="I4" s="233"/>
      <c r="J4" s="233"/>
      <c r="K4" s="154"/>
    </row>
    <row r="5" spans="1:14" ht="30.75" customHeight="1">
      <c r="A5" s="302" t="s">
        <v>4</v>
      </c>
      <c r="B5" s="302"/>
      <c r="C5" s="302"/>
      <c r="D5" s="302"/>
      <c r="E5" s="302"/>
      <c r="F5" s="302"/>
      <c r="G5" s="227"/>
      <c r="H5" s="223"/>
      <c r="I5" s="223"/>
      <c r="J5" s="223"/>
      <c r="K5" s="7"/>
    </row>
    <row r="6" spans="1:14" ht="15" customHeight="1">
      <c r="A6" s="306" t="s">
        <v>5</v>
      </c>
      <c r="B6" s="306" t="s">
        <v>6</v>
      </c>
      <c r="C6" s="306" t="s">
        <v>7</v>
      </c>
      <c r="D6" s="307" t="s">
        <v>396</v>
      </c>
      <c r="E6" s="307" t="s">
        <v>397</v>
      </c>
      <c r="F6" s="307" t="s">
        <v>406</v>
      </c>
      <c r="G6" s="308" t="s">
        <v>408</v>
      </c>
      <c r="H6" s="307" t="s">
        <v>556</v>
      </c>
      <c r="I6" s="307" t="s">
        <v>552</v>
      </c>
      <c r="J6" s="308" t="s">
        <v>553</v>
      </c>
      <c r="K6" s="304" t="s">
        <v>497</v>
      </c>
      <c r="L6" s="304" t="s">
        <v>390</v>
      </c>
    </row>
    <row r="7" spans="1:14">
      <c r="A7" s="306"/>
      <c r="B7" s="306"/>
      <c r="C7" s="306"/>
      <c r="D7" s="307"/>
      <c r="E7" s="307"/>
      <c r="F7" s="307"/>
      <c r="G7" s="309"/>
      <c r="H7" s="307"/>
      <c r="I7" s="307"/>
      <c r="J7" s="309"/>
      <c r="K7" s="304"/>
      <c r="L7" s="304"/>
    </row>
    <row r="8" spans="1:14" ht="23.25" customHeight="1">
      <c r="A8" s="306"/>
      <c r="B8" s="306"/>
      <c r="C8" s="306"/>
      <c r="D8" s="307"/>
      <c r="E8" s="307"/>
      <c r="F8" s="307"/>
      <c r="G8" s="309"/>
      <c r="H8" s="307"/>
      <c r="I8" s="307"/>
      <c r="J8" s="309"/>
      <c r="K8" s="304"/>
      <c r="L8" s="304"/>
    </row>
    <row r="9" spans="1:14" ht="60" customHeight="1">
      <c r="A9" s="306"/>
      <c r="B9" s="306"/>
      <c r="C9" s="306"/>
      <c r="D9" s="307"/>
      <c r="E9" s="307"/>
      <c r="F9" s="307"/>
      <c r="G9" s="310"/>
      <c r="H9" s="307"/>
      <c r="I9" s="307"/>
      <c r="J9" s="310"/>
      <c r="K9" s="304"/>
      <c r="L9" s="304"/>
    </row>
    <row r="10" spans="1:14" ht="15" hidden="1" customHeight="1">
      <c r="A10" s="306"/>
      <c r="B10" s="306"/>
      <c r="C10" s="306"/>
      <c r="D10" s="307"/>
      <c r="E10" s="307"/>
      <c r="F10" s="307"/>
      <c r="G10" s="220"/>
      <c r="H10" s="307"/>
      <c r="I10" s="307"/>
      <c r="J10" s="251"/>
      <c r="K10" s="304"/>
      <c r="L10" s="147"/>
    </row>
    <row r="11" spans="1:14" ht="0.75" hidden="1" customHeight="1">
      <c r="A11" s="306"/>
      <c r="B11" s="306"/>
      <c r="C11" s="306"/>
      <c r="D11" s="307"/>
      <c r="E11" s="307"/>
      <c r="F11" s="307"/>
      <c r="G11" s="220"/>
      <c r="H11" s="307"/>
      <c r="I11" s="307"/>
      <c r="J11" s="251"/>
      <c r="K11" s="304"/>
      <c r="L11" s="147"/>
    </row>
    <row r="12" spans="1:14" ht="15" hidden="1" customHeight="1">
      <c r="A12" s="306"/>
      <c r="B12" s="306"/>
      <c r="C12" s="306"/>
      <c r="D12" s="307"/>
      <c r="E12" s="307"/>
      <c r="F12" s="307"/>
      <c r="G12" s="220"/>
      <c r="H12" s="307"/>
      <c r="I12" s="307"/>
      <c r="J12" s="251"/>
      <c r="K12" s="304"/>
      <c r="L12" s="147"/>
    </row>
    <row r="13" spans="1:14" ht="12" customHeight="1">
      <c r="A13" s="39">
        <v>1</v>
      </c>
      <c r="B13" s="39">
        <v>2</v>
      </c>
      <c r="C13" s="39">
        <v>3</v>
      </c>
      <c r="D13" s="191"/>
      <c r="E13" s="191">
        <v>4</v>
      </c>
      <c r="F13" s="40" t="s">
        <v>12</v>
      </c>
      <c r="G13" s="40" t="s">
        <v>12</v>
      </c>
      <c r="H13" s="40" t="s">
        <v>498</v>
      </c>
      <c r="I13" s="40" t="s">
        <v>499</v>
      </c>
      <c r="J13" s="40" t="s">
        <v>500</v>
      </c>
      <c r="K13" s="252" t="s">
        <v>501</v>
      </c>
      <c r="L13" s="148">
        <v>11</v>
      </c>
      <c r="M13" s="248"/>
    </row>
    <row r="14" spans="1:14" s="140" customFormat="1" ht="12.75">
      <c r="A14" s="136" t="s">
        <v>14</v>
      </c>
      <c r="B14" s="137"/>
      <c r="C14" s="138" t="s">
        <v>15</v>
      </c>
      <c r="D14" s="138"/>
      <c r="E14" s="253" t="s">
        <v>502</v>
      </c>
      <c r="F14" s="133">
        <f>F17+F101</f>
        <v>4384947.04</v>
      </c>
      <c r="G14" s="133">
        <f>G17+G101</f>
        <v>4507043</v>
      </c>
      <c r="H14" s="133">
        <f>H17+H101</f>
        <v>5521773</v>
      </c>
      <c r="I14" s="133">
        <f>I17+I101</f>
        <v>2218264.75</v>
      </c>
      <c r="J14" s="133">
        <f>I14*100/H14</f>
        <v>40.173052206238829</v>
      </c>
      <c r="K14" s="134">
        <f>K17+K101</f>
        <v>3303508.25</v>
      </c>
      <c r="L14" s="155"/>
      <c r="M14" s="250">
        <f>G14-F14</f>
        <v>122095.95999999996</v>
      </c>
      <c r="N14" s="139"/>
    </row>
    <row r="15" spans="1:14" hidden="1">
      <c r="A15" s="42"/>
      <c r="B15" s="13"/>
      <c r="C15" s="43"/>
      <c r="D15" s="43"/>
      <c r="E15" s="43"/>
      <c r="F15" s="44"/>
      <c r="G15" s="44"/>
      <c r="H15" s="29"/>
      <c r="I15" s="29"/>
      <c r="J15" s="133" t="e">
        <f t="shared" ref="J15:J78" si="0">I15*100/H15</f>
        <v>#DIV/0!</v>
      </c>
      <c r="K15" s="8"/>
      <c r="L15" s="147"/>
      <c r="M15" s="248"/>
    </row>
    <row r="16" spans="1:14">
      <c r="A16" s="14" t="s">
        <v>16</v>
      </c>
      <c r="B16" s="15"/>
      <c r="C16" s="16"/>
      <c r="D16" s="16"/>
      <c r="E16" s="16"/>
      <c r="F16" s="28"/>
      <c r="G16" s="28"/>
      <c r="H16" s="28"/>
      <c r="I16" s="28"/>
      <c r="J16" s="133"/>
      <c r="K16" s="8">
        <f>F16-H16</f>
        <v>0</v>
      </c>
      <c r="L16" s="147"/>
      <c r="M16" s="247"/>
    </row>
    <row r="17" spans="1:12" ht="29.25" customHeight="1">
      <c r="A17" s="127" t="s">
        <v>17</v>
      </c>
      <c r="B17" s="128"/>
      <c r="C17" s="20" t="s">
        <v>18</v>
      </c>
      <c r="D17" s="129">
        <f>D18+D32+D38+D47+D72+D76+D85+D89+D93</f>
        <v>1368596.3199999998</v>
      </c>
      <c r="E17" s="129">
        <v>1666915.43</v>
      </c>
      <c r="F17" s="129">
        <f>F18+F47+F32+F38+F72+F76+F89</f>
        <v>1388580.04</v>
      </c>
      <c r="G17" s="129">
        <f>G18+G32+G38+G47+G72+G76+G89</f>
        <v>1622350</v>
      </c>
      <c r="H17" s="129">
        <f>H18+H32+H38+H47+H72+H76+H89</f>
        <v>1622350</v>
      </c>
      <c r="I17" s="129">
        <f>I18+I32+I38+I47+I72+I76+I89</f>
        <v>746301.75</v>
      </c>
      <c r="J17" s="133">
        <f>I17*100/H17</f>
        <v>46.001279008845195</v>
      </c>
      <c r="K17" s="130">
        <f t="shared" ref="K17:K37" si="1">H17-I17</f>
        <v>876048.25</v>
      </c>
      <c r="L17" s="156"/>
    </row>
    <row r="18" spans="1:12" s="22" customFormat="1">
      <c r="A18" s="18" t="s">
        <v>19</v>
      </c>
      <c r="B18" s="19"/>
      <c r="C18" s="20" t="s">
        <v>20</v>
      </c>
      <c r="D18" s="198">
        <f t="shared" ref="D18:E18" si="2">D19</f>
        <v>679017.19</v>
      </c>
      <c r="E18" s="198">
        <f t="shared" si="2"/>
        <v>773456.82</v>
      </c>
      <c r="F18" s="21">
        <f>F19</f>
        <v>685538.41</v>
      </c>
      <c r="G18" s="51">
        <f>G19</f>
        <v>769950</v>
      </c>
      <c r="H18" s="51">
        <f>H19</f>
        <v>769950</v>
      </c>
      <c r="I18" s="51">
        <f>I19</f>
        <v>356449.73</v>
      </c>
      <c r="J18" s="133">
        <f t="shared" si="0"/>
        <v>46.295178907721279</v>
      </c>
      <c r="K18" s="130">
        <f t="shared" si="1"/>
        <v>413500.27</v>
      </c>
      <c r="L18" s="157"/>
    </row>
    <row r="19" spans="1:12" ht="20.25" customHeight="1">
      <c r="A19" s="14" t="s">
        <v>21</v>
      </c>
      <c r="B19" s="15"/>
      <c r="C19" s="16" t="s">
        <v>22</v>
      </c>
      <c r="D19" s="199">
        <v>679017.19</v>
      </c>
      <c r="E19" s="199">
        <v>773456.82</v>
      </c>
      <c r="F19" s="12">
        <v>685538.41</v>
      </c>
      <c r="G19" s="28">
        <v>769950</v>
      </c>
      <c r="H19" s="28">
        <v>769950</v>
      </c>
      <c r="I19" s="28">
        <v>356449.73</v>
      </c>
      <c r="J19" s="133">
        <f t="shared" si="0"/>
        <v>46.295178907721279</v>
      </c>
      <c r="K19" s="130">
        <f t="shared" si="1"/>
        <v>413500.27</v>
      </c>
      <c r="L19" s="147"/>
    </row>
    <row r="20" spans="1:12" ht="79.5" hidden="1">
      <c r="A20" s="45" t="s">
        <v>312</v>
      </c>
      <c r="B20" s="15"/>
      <c r="C20" s="16" t="s">
        <v>23</v>
      </c>
      <c r="D20" s="199"/>
      <c r="E20" s="199">
        <v>733456.82</v>
      </c>
      <c r="F20" s="46">
        <f>601290+99000</f>
        <v>700290</v>
      </c>
      <c r="G20" s="73"/>
      <c r="H20" s="28">
        <f>H21+H22</f>
        <v>445383.14</v>
      </c>
      <c r="I20" s="28">
        <f>I21+I22</f>
        <v>445383.14</v>
      </c>
      <c r="J20" s="133">
        <f t="shared" si="0"/>
        <v>100</v>
      </c>
      <c r="K20" s="130">
        <f t="shared" si="1"/>
        <v>0</v>
      </c>
      <c r="L20" s="147"/>
    </row>
    <row r="21" spans="1:12" ht="57.75" hidden="1" customHeight="1">
      <c r="A21" s="47" t="s">
        <v>211</v>
      </c>
      <c r="B21" s="15"/>
      <c r="C21" s="16" t="s">
        <v>24</v>
      </c>
      <c r="D21" s="199"/>
      <c r="E21" s="199">
        <v>733456.82</v>
      </c>
      <c r="F21" s="74">
        <v>0</v>
      </c>
      <c r="G21" s="74"/>
      <c r="H21" s="73">
        <f>63070.6+51248.14+55375.41+46936.51+57586.89+65567.21+32555.34+73043.04</f>
        <v>445383.14</v>
      </c>
      <c r="I21" s="73">
        <f>63070.6+51248.14+55375.41+46936.51+57586.89+65567.21+32555.34+73043.04</f>
        <v>445383.14</v>
      </c>
      <c r="J21" s="133">
        <f t="shared" si="0"/>
        <v>100</v>
      </c>
      <c r="K21" s="130">
        <f t="shared" si="1"/>
        <v>0</v>
      </c>
      <c r="L21" s="147"/>
    </row>
    <row r="22" spans="1:12" s="36" customFormat="1" ht="102" hidden="1">
      <c r="A22" s="47" t="s">
        <v>294</v>
      </c>
      <c r="B22" s="15"/>
      <c r="C22" s="16" t="s">
        <v>212</v>
      </c>
      <c r="D22" s="199"/>
      <c r="E22" s="199">
        <v>733456.82</v>
      </c>
      <c r="F22" s="28" t="s">
        <v>25</v>
      </c>
      <c r="G22" s="28"/>
      <c r="H22" s="28"/>
      <c r="I22" s="28"/>
      <c r="J22" s="133" t="e">
        <f t="shared" si="0"/>
        <v>#DIV/0!</v>
      </c>
      <c r="K22" s="130">
        <f t="shared" si="1"/>
        <v>0</v>
      </c>
      <c r="L22" s="158"/>
    </row>
    <row r="23" spans="1:12" s="36" customFormat="1" ht="49.5" hidden="1" customHeight="1">
      <c r="A23" s="45" t="s">
        <v>295</v>
      </c>
      <c r="B23" s="15"/>
      <c r="C23" s="16" t="s">
        <v>296</v>
      </c>
      <c r="D23" s="199"/>
      <c r="E23" s="199">
        <v>733456.82</v>
      </c>
      <c r="F23" s="28"/>
      <c r="G23" s="28"/>
      <c r="H23" s="28">
        <v>0.47</v>
      </c>
      <c r="I23" s="28">
        <v>0.47</v>
      </c>
      <c r="J23" s="133">
        <f t="shared" si="0"/>
        <v>100</v>
      </c>
      <c r="K23" s="130">
        <f t="shared" si="1"/>
        <v>0</v>
      </c>
      <c r="L23" s="158"/>
    </row>
    <row r="24" spans="1:12" ht="66" hidden="1" customHeight="1">
      <c r="A24" s="45" t="s">
        <v>315</v>
      </c>
      <c r="B24" s="15"/>
      <c r="C24" s="16" t="s">
        <v>314</v>
      </c>
      <c r="D24" s="199"/>
      <c r="E24" s="199">
        <v>733456.82</v>
      </c>
      <c r="F24" s="28">
        <f>F25</f>
        <v>0</v>
      </c>
      <c r="G24" s="28"/>
      <c r="H24" s="28">
        <f>H25+H26</f>
        <v>219.3</v>
      </c>
      <c r="I24" s="28">
        <f>I25+I26</f>
        <v>219.3</v>
      </c>
      <c r="J24" s="133">
        <f t="shared" si="0"/>
        <v>100</v>
      </c>
      <c r="K24" s="130">
        <f t="shared" si="1"/>
        <v>0</v>
      </c>
      <c r="L24" s="147"/>
    </row>
    <row r="25" spans="1:12" ht="87" hidden="1" customHeight="1">
      <c r="A25" s="45" t="s">
        <v>316</v>
      </c>
      <c r="B25" s="15"/>
      <c r="C25" s="16" t="s">
        <v>309</v>
      </c>
      <c r="D25" s="199"/>
      <c r="E25" s="199">
        <v>733456.82</v>
      </c>
      <c r="F25" s="28"/>
      <c r="G25" s="28"/>
      <c r="H25" s="28">
        <v>218.4</v>
      </c>
      <c r="I25" s="28">
        <v>218.4</v>
      </c>
      <c r="J25" s="133">
        <f t="shared" si="0"/>
        <v>100</v>
      </c>
      <c r="K25" s="130">
        <f t="shared" si="1"/>
        <v>0</v>
      </c>
      <c r="L25" s="147"/>
    </row>
    <row r="26" spans="1:12" ht="79.5" hidden="1" customHeight="1">
      <c r="A26" s="45" t="s">
        <v>317</v>
      </c>
      <c r="B26" s="15"/>
      <c r="C26" s="16" t="s">
        <v>310</v>
      </c>
      <c r="D26" s="199"/>
      <c r="E26" s="199">
        <v>733456.82</v>
      </c>
      <c r="F26" s="28"/>
      <c r="G26" s="28"/>
      <c r="H26" s="28">
        <f>H27</f>
        <v>0.9</v>
      </c>
      <c r="I26" s="28">
        <f>I27</f>
        <v>0.9</v>
      </c>
      <c r="J26" s="133">
        <f t="shared" si="0"/>
        <v>100</v>
      </c>
      <c r="K26" s="130">
        <f t="shared" si="1"/>
        <v>0</v>
      </c>
      <c r="L26" s="147"/>
    </row>
    <row r="27" spans="1:12" ht="39" hidden="1" customHeight="1">
      <c r="A27" s="45" t="s">
        <v>313</v>
      </c>
      <c r="B27" s="15"/>
      <c r="C27" s="16" t="s">
        <v>311</v>
      </c>
      <c r="D27" s="199"/>
      <c r="E27" s="199">
        <v>733456.82</v>
      </c>
      <c r="F27" s="28"/>
      <c r="G27" s="28"/>
      <c r="H27" s="28">
        <v>0.9</v>
      </c>
      <c r="I27" s="28">
        <v>0.9</v>
      </c>
      <c r="J27" s="133">
        <f t="shared" si="0"/>
        <v>100</v>
      </c>
      <c r="K27" s="130">
        <f t="shared" si="1"/>
        <v>0</v>
      </c>
      <c r="L27" s="147"/>
    </row>
    <row r="28" spans="1:12" ht="57" hidden="1">
      <c r="A28" s="14" t="s">
        <v>213</v>
      </c>
      <c r="B28" s="15"/>
      <c r="C28" s="72" t="s">
        <v>308</v>
      </c>
      <c r="D28" s="200"/>
      <c r="E28" s="199">
        <v>733456.82</v>
      </c>
      <c r="F28" s="28">
        <v>1000</v>
      </c>
      <c r="G28" s="28"/>
      <c r="H28" s="28">
        <f>H29+H30</f>
        <v>849.38000000000011</v>
      </c>
      <c r="I28" s="28">
        <f>I29+I30</f>
        <v>849.38000000000011</v>
      </c>
      <c r="J28" s="133">
        <f t="shared" si="0"/>
        <v>100</v>
      </c>
      <c r="K28" s="130">
        <f t="shared" si="1"/>
        <v>0</v>
      </c>
      <c r="L28" s="147"/>
    </row>
    <row r="29" spans="1:12" ht="51.75" hidden="1" customHeight="1">
      <c r="A29" s="14" t="s">
        <v>214</v>
      </c>
      <c r="B29" s="15"/>
      <c r="C29" s="16" t="s">
        <v>215</v>
      </c>
      <c r="D29" s="199"/>
      <c r="E29" s="199">
        <v>733456.82</v>
      </c>
      <c r="F29" s="74">
        <v>0</v>
      </c>
      <c r="G29" s="74"/>
      <c r="H29" s="28">
        <f>360.88+241.8+43+186.7+0</f>
        <v>832.38000000000011</v>
      </c>
      <c r="I29" s="28">
        <f>360.88+241.8+43+186.7+0</f>
        <v>832.38000000000011</v>
      </c>
      <c r="J29" s="133">
        <f t="shared" si="0"/>
        <v>100</v>
      </c>
      <c r="K29" s="130">
        <f t="shared" si="1"/>
        <v>0</v>
      </c>
      <c r="L29" s="147"/>
    </row>
    <row r="30" spans="1:12" ht="102" hidden="1">
      <c r="A30" s="45" t="s">
        <v>304</v>
      </c>
      <c r="B30" s="50"/>
      <c r="C30" s="16" t="s">
        <v>302</v>
      </c>
      <c r="D30" s="199"/>
      <c r="E30" s="199">
        <v>733456.82</v>
      </c>
      <c r="F30" s="28"/>
      <c r="G30" s="28"/>
      <c r="H30" s="28">
        <f>H31</f>
        <v>17</v>
      </c>
      <c r="I30" s="28">
        <f>I31</f>
        <v>17</v>
      </c>
      <c r="J30" s="133">
        <f t="shared" si="0"/>
        <v>100</v>
      </c>
      <c r="K30" s="130">
        <f t="shared" si="1"/>
        <v>0</v>
      </c>
      <c r="L30" s="147"/>
    </row>
    <row r="31" spans="1:12" ht="90.75" hidden="1">
      <c r="A31" s="45" t="s">
        <v>305</v>
      </c>
      <c r="B31" s="50"/>
      <c r="C31" s="16" t="s">
        <v>303</v>
      </c>
      <c r="D31" s="199"/>
      <c r="E31" s="199">
        <v>733456.82</v>
      </c>
      <c r="F31" s="28" t="s">
        <v>25</v>
      </c>
      <c r="G31" s="28"/>
      <c r="H31" s="28">
        <v>17</v>
      </c>
      <c r="I31" s="28">
        <v>17</v>
      </c>
      <c r="J31" s="133">
        <f t="shared" si="0"/>
        <v>100</v>
      </c>
      <c r="K31" s="130">
        <f t="shared" si="1"/>
        <v>0</v>
      </c>
      <c r="L31" s="147"/>
    </row>
    <row r="32" spans="1:12" s="22" customFormat="1" ht="39.75" customHeight="1">
      <c r="A32" s="77" t="s">
        <v>26</v>
      </c>
      <c r="B32" s="152"/>
      <c r="C32" s="153" t="s">
        <v>27</v>
      </c>
      <c r="D32" s="208"/>
      <c r="E32" s="208">
        <v>124634.03</v>
      </c>
      <c r="F32" s="29">
        <v>134130.59</v>
      </c>
      <c r="G32" s="29">
        <v>164000</v>
      </c>
      <c r="H32" s="29">
        <v>164000</v>
      </c>
      <c r="I32" s="29">
        <v>77511.63</v>
      </c>
      <c r="J32" s="133">
        <f t="shared" si="0"/>
        <v>47.263189024390243</v>
      </c>
      <c r="K32" s="130">
        <f t="shared" si="1"/>
        <v>86488.37</v>
      </c>
      <c r="L32" s="159"/>
    </row>
    <row r="33" spans="1:12" ht="34.5" hidden="1">
      <c r="A33" s="52" t="s">
        <v>28</v>
      </c>
      <c r="B33" s="15"/>
      <c r="C33" s="16" t="s">
        <v>29</v>
      </c>
      <c r="D33" s="199"/>
      <c r="E33" s="199"/>
      <c r="F33" s="28">
        <f>F34+F35+F36+F37</f>
        <v>114200</v>
      </c>
      <c r="G33" s="28"/>
      <c r="H33" s="28">
        <f>H34+H35+H36+H37</f>
        <v>105114.42</v>
      </c>
      <c r="I33" s="28">
        <f>I34+I35+I36+I37</f>
        <v>105114.42</v>
      </c>
      <c r="J33" s="133">
        <f t="shared" si="0"/>
        <v>100</v>
      </c>
      <c r="K33" s="130">
        <f t="shared" si="1"/>
        <v>0</v>
      </c>
      <c r="L33" s="147"/>
    </row>
    <row r="34" spans="1:12" ht="45.75" hidden="1">
      <c r="A34" s="52" t="s">
        <v>30</v>
      </c>
      <c r="B34" s="15"/>
      <c r="C34" s="16" t="s">
        <v>31</v>
      </c>
      <c r="D34" s="199"/>
      <c r="E34" s="199"/>
      <c r="F34" s="46">
        <v>35400</v>
      </c>
      <c r="G34" s="73"/>
      <c r="H34" s="73">
        <f>5983.61+6603.05+2674+4446.42+1429.39+5649.11+4250.03+3616.27</f>
        <v>34651.879999999997</v>
      </c>
      <c r="I34" s="73">
        <f>5983.61+6603.05+2674+4446.42+1429.39+5649.11+4250.03+3616.27</f>
        <v>34651.879999999997</v>
      </c>
      <c r="J34" s="133">
        <f t="shared" si="0"/>
        <v>100</v>
      </c>
      <c r="K34" s="130">
        <f t="shared" si="1"/>
        <v>0</v>
      </c>
      <c r="L34" s="147"/>
    </row>
    <row r="35" spans="1:12" ht="68.25" hidden="1">
      <c r="A35" s="52" t="s">
        <v>32</v>
      </c>
      <c r="B35" s="15"/>
      <c r="C35" s="16" t="s">
        <v>33</v>
      </c>
      <c r="D35" s="199"/>
      <c r="E35" s="199"/>
      <c r="F35" s="46">
        <v>1300</v>
      </c>
      <c r="G35" s="73"/>
      <c r="H35" s="73">
        <f>143.17+138.91+83.27+122.58+102.93+140.58+106.49+103.11</f>
        <v>941.04</v>
      </c>
      <c r="I35" s="73">
        <f>143.17+138.91+83.27+122.58+102.93+140.58+106.49+103.11</f>
        <v>941.04</v>
      </c>
      <c r="J35" s="133">
        <f t="shared" si="0"/>
        <v>100</v>
      </c>
      <c r="K35" s="130">
        <f t="shared" si="1"/>
        <v>0</v>
      </c>
      <c r="L35" s="147"/>
    </row>
    <row r="36" spans="1:12" ht="68.25" hidden="1">
      <c r="A36" s="52" t="s">
        <v>34</v>
      </c>
      <c r="B36" s="15"/>
      <c r="C36" s="16" t="s">
        <v>35</v>
      </c>
      <c r="D36" s="199"/>
      <c r="E36" s="199"/>
      <c r="F36" s="46">
        <v>77500</v>
      </c>
      <c r="G36" s="73"/>
      <c r="H36" s="73">
        <f>10414.01+14767.38+6418.62+8054.17+5418.26+9272.18+7739.03+7437.85</f>
        <v>69521.5</v>
      </c>
      <c r="I36" s="73">
        <f>10414.01+14767.38+6418.62+8054.17+5418.26+9272.18+7739.03+7437.85</f>
        <v>69521.5</v>
      </c>
      <c r="J36" s="133">
        <f t="shared" si="0"/>
        <v>100</v>
      </c>
      <c r="K36" s="130">
        <f t="shared" si="1"/>
        <v>0</v>
      </c>
      <c r="L36" s="147"/>
    </row>
    <row r="37" spans="1:12" ht="48" hidden="1" customHeight="1">
      <c r="A37" s="52" t="s">
        <v>36</v>
      </c>
      <c r="B37" s="15"/>
      <c r="C37" s="16" t="s">
        <v>37</v>
      </c>
      <c r="D37" s="199"/>
      <c r="E37" s="199"/>
      <c r="F37" s="46">
        <v>0</v>
      </c>
      <c r="G37" s="73"/>
      <c r="H37" s="73">
        <v>0</v>
      </c>
      <c r="I37" s="73">
        <v>0</v>
      </c>
      <c r="J37" s="133" t="e">
        <f t="shared" si="0"/>
        <v>#DIV/0!</v>
      </c>
      <c r="K37" s="130">
        <f t="shared" si="1"/>
        <v>0</v>
      </c>
      <c r="L37" s="147"/>
    </row>
    <row r="38" spans="1:12" s="22" customFormat="1" ht="25.5" customHeight="1">
      <c r="A38" s="18" t="s">
        <v>403</v>
      </c>
      <c r="B38" s="19"/>
      <c r="C38" s="20" t="s">
        <v>39</v>
      </c>
      <c r="D38" s="206">
        <f t="shared" ref="D38" si="3">D39+D45</f>
        <v>116087.62</v>
      </c>
      <c r="E38" s="206">
        <v>64097.8</v>
      </c>
      <c r="F38" s="207">
        <v>17960.55</v>
      </c>
      <c r="G38" s="224">
        <v>19900</v>
      </c>
      <c r="H38" s="224">
        <v>19900</v>
      </c>
      <c r="I38" s="224">
        <v>107198.86</v>
      </c>
      <c r="J38" s="133">
        <f t="shared" si="0"/>
        <v>538.68773869346728</v>
      </c>
      <c r="K38" s="130">
        <f>I38</f>
        <v>107198.86</v>
      </c>
      <c r="L38" s="157"/>
    </row>
    <row r="39" spans="1:12" hidden="1">
      <c r="A39" s="14" t="s">
        <v>40</v>
      </c>
      <c r="B39" s="15"/>
      <c r="C39" s="16" t="s">
        <v>41</v>
      </c>
      <c r="D39" s="199" t="s">
        <v>398</v>
      </c>
      <c r="E39" s="199" t="s">
        <v>399</v>
      </c>
      <c r="F39" s="169">
        <f>F40</f>
        <v>172600</v>
      </c>
      <c r="G39" s="73">
        <v>17406.55</v>
      </c>
      <c r="H39" s="73">
        <f>H40</f>
        <v>17406</v>
      </c>
      <c r="I39" s="73">
        <f>I40</f>
        <v>17406</v>
      </c>
      <c r="J39" s="133">
        <f t="shared" si="0"/>
        <v>100</v>
      </c>
      <c r="K39" s="130">
        <f t="shared" ref="K39:K61" si="4">H39-I39</f>
        <v>0</v>
      </c>
      <c r="L39" s="147"/>
    </row>
    <row r="40" spans="1:12" hidden="1">
      <c r="A40" s="14" t="s">
        <v>40</v>
      </c>
      <c r="B40" s="15"/>
      <c r="C40" s="16" t="s">
        <v>42</v>
      </c>
      <c r="D40" s="199"/>
      <c r="E40" s="199"/>
      <c r="F40" s="46">
        <f>72600+100000</f>
        <v>172600</v>
      </c>
      <c r="G40" s="73"/>
      <c r="H40" s="73">
        <f>H44</f>
        <v>17406</v>
      </c>
      <c r="I40" s="73">
        <f>I44</f>
        <v>17406</v>
      </c>
      <c r="J40" s="133">
        <f t="shared" si="0"/>
        <v>100</v>
      </c>
      <c r="K40" s="130">
        <f t="shared" si="4"/>
        <v>0</v>
      </c>
      <c r="L40" s="147"/>
    </row>
    <row r="41" spans="1:12" ht="23.25" hidden="1">
      <c r="A41" s="53" t="s">
        <v>43</v>
      </c>
      <c r="B41" s="54"/>
      <c r="C41" s="55" t="s">
        <v>44</v>
      </c>
      <c r="D41" s="202"/>
      <c r="E41" s="202"/>
      <c r="F41" s="31">
        <v>64100</v>
      </c>
      <c r="G41" s="31"/>
      <c r="H41" s="31">
        <f>600+58366.5+2101.5</f>
        <v>61068</v>
      </c>
      <c r="I41" s="31">
        <f>600+58366.5+2101.5</f>
        <v>61068</v>
      </c>
      <c r="J41" s="133">
        <f t="shared" si="0"/>
        <v>100</v>
      </c>
      <c r="K41" s="130">
        <f t="shared" si="4"/>
        <v>0</v>
      </c>
      <c r="L41" s="147"/>
    </row>
    <row r="42" spans="1:12" ht="23.25" hidden="1">
      <c r="A42" s="53" t="s">
        <v>45</v>
      </c>
      <c r="B42" s="54"/>
      <c r="C42" s="55" t="s">
        <v>46</v>
      </c>
      <c r="D42" s="202"/>
      <c r="E42" s="202"/>
      <c r="F42" s="31" t="s">
        <v>25</v>
      </c>
      <c r="G42" s="31"/>
      <c r="H42" s="31">
        <f>359.13+2170.67</f>
        <v>2529.8000000000002</v>
      </c>
      <c r="I42" s="31">
        <f>359.13+2170.67</f>
        <v>2529.8000000000002</v>
      </c>
      <c r="J42" s="133">
        <f t="shared" si="0"/>
        <v>100</v>
      </c>
      <c r="K42" s="130">
        <f t="shared" si="4"/>
        <v>0</v>
      </c>
      <c r="L42" s="147"/>
    </row>
    <row r="43" spans="1:12" ht="23.25" hidden="1">
      <c r="A43" s="53" t="s">
        <v>47</v>
      </c>
      <c r="B43" s="54"/>
      <c r="C43" s="55" t="s">
        <v>48</v>
      </c>
      <c r="D43" s="202"/>
      <c r="E43" s="202"/>
      <c r="F43" s="31" t="s">
        <v>25</v>
      </c>
      <c r="G43" s="31"/>
      <c r="H43" s="31">
        <f>500+0</f>
        <v>500</v>
      </c>
      <c r="I43" s="31">
        <f>500+0</f>
        <v>500</v>
      </c>
      <c r="J43" s="133">
        <f t="shared" si="0"/>
        <v>100</v>
      </c>
      <c r="K43" s="130">
        <f t="shared" si="4"/>
        <v>0</v>
      </c>
      <c r="L43" s="147"/>
    </row>
    <row r="44" spans="1:12" hidden="1">
      <c r="A44" s="14" t="s">
        <v>40</v>
      </c>
      <c r="B44" s="15"/>
      <c r="C44" s="16" t="s">
        <v>44</v>
      </c>
      <c r="D44" s="199"/>
      <c r="E44" s="199"/>
      <c r="F44" s="74">
        <v>0</v>
      </c>
      <c r="G44" s="74"/>
      <c r="H44" s="28">
        <f>1195.5+15237+973.5</f>
        <v>17406</v>
      </c>
      <c r="I44" s="28">
        <f>1195.5+15237+973.5</f>
        <v>17406</v>
      </c>
      <c r="J44" s="133">
        <f t="shared" si="0"/>
        <v>100</v>
      </c>
      <c r="K44" s="130">
        <f t="shared" si="4"/>
        <v>0</v>
      </c>
      <c r="L44" s="147"/>
    </row>
    <row r="45" spans="1:12" ht="23.25" hidden="1">
      <c r="A45" s="14" t="s">
        <v>45</v>
      </c>
      <c r="B45" s="15"/>
      <c r="C45" s="16" t="s">
        <v>290</v>
      </c>
      <c r="D45" s="199"/>
      <c r="E45" s="199"/>
      <c r="F45" s="74">
        <f>F46</f>
        <v>0</v>
      </c>
      <c r="G45" s="74"/>
      <c r="H45" s="28">
        <f t="shared" ref="H45:I45" si="5">H46</f>
        <v>554.54999999999995</v>
      </c>
      <c r="I45" s="28">
        <f t="shared" si="5"/>
        <v>554.54999999999995</v>
      </c>
      <c r="J45" s="133">
        <f t="shared" si="0"/>
        <v>100</v>
      </c>
      <c r="K45" s="130">
        <f t="shared" si="4"/>
        <v>0</v>
      </c>
      <c r="L45" s="147"/>
    </row>
    <row r="46" spans="1:12" ht="23.25" hidden="1">
      <c r="A46" s="14" t="s">
        <v>289</v>
      </c>
      <c r="B46" s="15"/>
      <c r="C46" s="16" t="s">
        <v>291</v>
      </c>
      <c r="D46" s="199"/>
      <c r="E46" s="199"/>
      <c r="F46" s="74">
        <v>0</v>
      </c>
      <c r="G46" s="74"/>
      <c r="H46" s="28">
        <f>541.63+12.92</f>
        <v>554.54999999999995</v>
      </c>
      <c r="I46" s="28">
        <f>541.63+12.92</f>
        <v>554.54999999999995</v>
      </c>
      <c r="J46" s="133">
        <f t="shared" si="0"/>
        <v>100</v>
      </c>
      <c r="K46" s="130">
        <f t="shared" si="4"/>
        <v>0</v>
      </c>
      <c r="L46" s="147"/>
    </row>
    <row r="47" spans="1:12" s="22" customFormat="1">
      <c r="A47" s="18" t="s">
        <v>49</v>
      </c>
      <c r="B47" s="19"/>
      <c r="C47" s="20" t="s">
        <v>50</v>
      </c>
      <c r="D47" s="203">
        <f>D48+D61</f>
        <v>406487.62</v>
      </c>
      <c r="E47" s="203">
        <f>E48+E61</f>
        <v>477386.99</v>
      </c>
      <c r="F47" s="51">
        <v>514797.49</v>
      </c>
      <c r="G47" s="51">
        <f>G48+G61</f>
        <v>651500</v>
      </c>
      <c r="H47" s="51">
        <f>H48+H61</f>
        <v>651500</v>
      </c>
      <c r="I47" s="51">
        <f>I48+I61</f>
        <v>197097.75</v>
      </c>
      <c r="J47" s="133">
        <f t="shared" si="0"/>
        <v>30.252916346891787</v>
      </c>
      <c r="K47" s="130">
        <f t="shared" si="4"/>
        <v>454402.25</v>
      </c>
      <c r="L47" s="157"/>
    </row>
    <row r="48" spans="1:12" s="23" customFormat="1">
      <c r="A48" s="56" t="s">
        <v>51</v>
      </c>
      <c r="B48" s="57"/>
      <c r="C48" s="58" t="s">
        <v>52</v>
      </c>
      <c r="D48" s="204">
        <v>58893.21</v>
      </c>
      <c r="E48" s="204">
        <v>69135.11</v>
      </c>
      <c r="F48" s="46">
        <v>73519.73</v>
      </c>
      <c r="G48" s="73">
        <v>92700</v>
      </c>
      <c r="H48" s="73">
        <v>92700</v>
      </c>
      <c r="I48" s="73">
        <v>5563.54</v>
      </c>
      <c r="J48" s="133">
        <f t="shared" si="0"/>
        <v>6.0016612729234087</v>
      </c>
      <c r="K48" s="130">
        <f t="shared" si="4"/>
        <v>87136.46</v>
      </c>
      <c r="L48" s="160"/>
    </row>
    <row r="49" spans="1:12" ht="27.75" hidden="1" customHeight="1">
      <c r="A49" s="14" t="s">
        <v>53</v>
      </c>
      <c r="B49" s="15"/>
      <c r="C49" s="16" t="s">
        <v>54</v>
      </c>
      <c r="D49" s="199"/>
      <c r="E49" s="199"/>
      <c r="F49" s="46">
        <v>76470</v>
      </c>
      <c r="G49" s="73"/>
      <c r="H49" s="73">
        <f>H50+H52+H53</f>
        <v>46600.63</v>
      </c>
      <c r="I49" s="73">
        <f>I50+I52+I53</f>
        <v>46600.63</v>
      </c>
      <c r="J49" s="133">
        <f t="shared" si="0"/>
        <v>100</v>
      </c>
      <c r="K49" s="130">
        <f t="shared" si="4"/>
        <v>0</v>
      </c>
      <c r="L49" s="147"/>
    </row>
    <row r="50" spans="1:12" ht="28.5" hidden="1" customHeight="1">
      <c r="A50" s="14" t="s">
        <v>55</v>
      </c>
      <c r="B50" s="15"/>
      <c r="C50" s="16" t="s">
        <v>56</v>
      </c>
      <c r="D50" s="199"/>
      <c r="E50" s="199"/>
      <c r="F50" s="62">
        <v>0</v>
      </c>
      <c r="G50" s="228"/>
      <c r="H50" s="73">
        <f>6847.91+3909.68+2969+3020.62+7631.96+8806.28+2732.5+9551.03</f>
        <v>45468.979999999996</v>
      </c>
      <c r="I50" s="73">
        <f>6847.91+3909.68+2969+3020.62+7631.96+8806.28+2732.5+9551.03</f>
        <v>45468.979999999996</v>
      </c>
      <c r="J50" s="133">
        <f t="shared" si="0"/>
        <v>100.00000000000001</v>
      </c>
      <c r="K50" s="130">
        <f t="shared" si="4"/>
        <v>0</v>
      </c>
      <c r="L50" s="147"/>
    </row>
    <row r="51" spans="1:12" ht="57" hidden="1">
      <c r="A51" s="49" t="s">
        <v>57</v>
      </c>
      <c r="B51" s="50"/>
      <c r="C51" s="48" t="s">
        <v>58</v>
      </c>
      <c r="D51" s="205"/>
      <c r="E51" s="205"/>
      <c r="F51" s="74" t="s">
        <v>25</v>
      </c>
      <c r="G51" s="74"/>
      <c r="H51" s="225">
        <v>0</v>
      </c>
      <c r="I51" s="225">
        <v>0</v>
      </c>
      <c r="J51" s="133" t="e">
        <f t="shared" si="0"/>
        <v>#DIV/0!</v>
      </c>
      <c r="K51" s="130">
        <f t="shared" si="4"/>
        <v>0</v>
      </c>
      <c r="L51" s="147"/>
    </row>
    <row r="52" spans="1:12" ht="39.75" hidden="1" customHeight="1">
      <c r="A52" s="59" t="s">
        <v>253</v>
      </c>
      <c r="B52" s="60"/>
      <c r="C52" s="38" t="s">
        <v>254</v>
      </c>
      <c r="D52" s="201"/>
      <c r="E52" s="201"/>
      <c r="F52" s="62">
        <v>0</v>
      </c>
      <c r="G52" s="228"/>
      <c r="H52" s="73">
        <f>226.13+606.61+65.55+9.2+35.14+27.26+18.39</f>
        <v>988.28</v>
      </c>
      <c r="I52" s="73">
        <f>226.13+606.61+65.55+9.2+35.14+27.26+18.39</f>
        <v>988.28</v>
      </c>
      <c r="J52" s="133">
        <f t="shared" si="0"/>
        <v>100</v>
      </c>
      <c r="K52" s="130">
        <f t="shared" si="4"/>
        <v>0</v>
      </c>
      <c r="L52" s="147"/>
    </row>
    <row r="53" spans="1:12" ht="39" hidden="1" customHeight="1">
      <c r="A53" s="59" t="s">
        <v>255</v>
      </c>
      <c r="B53" s="60"/>
      <c r="C53" s="38" t="s">
        <v>256</v>
      </c>
      <c r="D53" s="201"/>
      <c r="E53" s="201"/>
      <c r="F53" s="62">
        <v>0</v>
      </c>
      <c r="G53" s="228"/>
      <c r="H53" s="73">
        <v>143.37</v>
      </c>
      <c r="I53" s="73">
        <v>143.37</v>
      </c>
      <c r="J53" s="133">
        <f t="shared" si="0"/>
        <v>100</v>
      </c>
      <c r="K53" s="130">
        <f t="shared" si="4"/>
        <v>0</v>
      </c>
      <c r="L53" s="147"/>
    </row>
    <row r="54" spans="1:12" s="23" customFormat="1" hidden="1">
      <c r="A54" s="56" t="s">
        <v>59</v>
      </c>
      <c r="B54" s="57"/>
      <c r="C54" s="58" t="s">
        <v>60</v>
      </c>
      <c r="D54" s="204"/>
      <c r="E54" s="204"/>
      <c r="F54" s="61"/>
      <c r="G54" s="61"/>
      <c r="H54" s="61"/>
      <c r="I54" s="61"/>
      <c r="J54" s="133" t="e">
        <f t="shared" si="0"/>
        <v>#DIV/0!</v>
      </c>
      <c r="K54" s="130">
        <f t="shared" si="4"/>
        <v>0</v>
      </c>
      <c r="L54" s="160"/>
    </row>
    <row r="55" spans="1:12" ht="57" hidden="1">
      <c r="A55" s="14" t="s">
        <v>61</v>
      </c>
      <c r="B55" s="15"/>
      <c r="C55" s="16" t="s">
        <v>62</v>
      </c>
      <c r="D55" s="199"/>
      <c r="E55" s="199"/>
      <c r="F55" s="28"/>
      <c r="G55" s="28"/>
      <c r="H55" s="28"/>
      <c r="I55" s="28"/>
      <c r="J55" s="133" t="e">
        <f t="shared" si="0"/>
        <v>#DIV/0!</v>
      </c>
      <c r="K55" s="130">
        <f t="shared" si="4"/>
        <v>0</v>
      </c>
      <c r="L55" s="147"/>
    </row>
    <row r="56" spans="1:12" s="25" customFormat="1" ht="56.25" hidden="1" customHeight="1">
      <c r="A56" s="70" t="s">
        <v>63</v>
      </c>
      <c r="B56" s="71"/>
      <c r="C56" s="72" t="s">
        <v>64</v>
      </c>
      <c r="D56" s="200"/>
      <c r="E56" s="200"/>
      <c r="F56" s="73"/>
      <c r="G56" s="73"/>
      <c r="H56" s="73"/>
      <c r="I56" s="73"/>
      <c r="J56" s="133" t="e">
        <f t="shared" si="0"/>
        <v>#DIV/0!</v>
      </c>
      <c r="K56" s="130">
        <f t="shared" si="4"/>
        <v>0</v>
      </c>
      <c r="L56" s="161"/>
    </row>
    <row r="57" spans="1:12" ht="90.75" hidden="1">
      <c r="A57" s="14" t="s">
        <v>207</v>
      </c>
      <c r="B57" s="15"/>
      <c r="C57" s="16" t="s">
        <v>209</v>
      </c>
      <c r="D57" s="199"/>
      <c r="E57" s="199"/>
      <c r="F57" s="46"/>
      <c r="G57" s="73"/>
      <c r="H57" s="73"/>
      <c r="I57" s="73"/>
      <c r="J57" s="133" t="e">
        <f t="shared" si="0"/>
        <v>#DIV/0!</v>
      </c>
      <c r="K57" s="130">
        <f t="shared" si="4"/>
        <v>0</v>
      </c>
      <c r="L57" s="147"/>
    </row>
    <row r="58" spans="1:12" ht="90.75" hidden="1">
      <c r="A58" s="14" t="s">
        <v>208</v>
      </c>
      <c r="B58" s="15"/>
      <c r="C58" s="16" t="s">
        <v>210</v>
      </c>
      <c r="D58" s="199"/>
      <c r="E58" s="199"/>
      <c r="F58" s="46"/>
      <c r="G58" s="73"/>
      <c r="H58" s="73"/>
      <c r="I58" s="73"/>
      <c r="J58" s="133" t="e">
        <f t="shared" si="0"/>
        <v>#DIV/0!</v>
      </c>
      <c r="K58" s="130">
        <f t="shared" si="4"/>
        <v>0</v>
      </c>
      <c r="L58" s="147"/>
    </row>
    <row r="59" spans="1:12" ht="33.75" hidden="1" customHeight="1">
      <c r="A59" s="14" t="s">
        <v>65</v>
      </c>
      <c r="B59" s="15"/>
      <c r="C59" s="16" t="s">
        <v>66</v>
      </c>
      <c r="D59" s="199"/>
      <c r="E59" s="199"/>
      <c r="F59" s="46"/>
      <c r="G59" s="73"/>
      <c r="H59" s="73"/>
      <c r="I59" s="73"/>
      <c r="J59" s="133" t="e">
        <f t="shared" si="0"/>
        <v>#DIV/0!</v>
      </c>
      <c r="K59" s="130">
        <f t="shared" si="4"/>
        <v>0</v>
      </c>
      <c r="L59" s="147"/>
    </row>
    <row r="60" spans="1:12" s="25" customFormat="1" ht="57" hidden="1" customHeight="1">
      <c r="A60" s="70" t="s">
        <v>67</v>
      </c>
      <c r="B60" s="71"/>
      <c r="C60" s="72" t="s">
        <v>68</v>
      </c>
      <c r="D60" s="200"/>
      <c r="E60" s="200"/>
      <c r="F60" s="73"/>
      <c r="G60" s="73"/>
      <c r="H60" s="73"/>
      <c r="I60" s="73"/>
      <c r="J60" s="133" t="e">
        <f t="shared" si="0"/>
        <v>#DIV/0!</v>
      </c>
      <c r="K60" s="130">
        <f t="shared" si="4"/>
        <v>0</v>
      </c>
      <c r="L60" s="161"/>
    </row>
    <row r="61" spans="1:12" ht="21.75" customHeight="1">
      <c r="A61" s="59" t="s">
        <v>400</v>
      </c>
      <c r="B61" s="60"/>
      <c r="C61" s="38" t="s">
        <v>258</v>
      </c>
      <c r="D61" s="201">
        <f t="shared" ref="D61:E61" si="6">D62+D67</f>
        <v>347594.41</v>
      </c>
      <c r="E61" s="201">
        <f t="shared" si="6"/>
        <v>408251.88</v>
      </c>
      <c r="F61" s="46">
        <f>F62+F67</f>
        <v>441664.43</v>
      </c>
      <c r="G61" s="73">
        <f>G62+G67</f>
        <v>558800</v>
      </c>
      <c r="H61" s="73">
        <v>558800</v>
      </c>
      <c r="I61" s="73">
        <v>191534.21</v>
      </c>
      <c r="J61" s="133">
        <f t="shared" si="0"/>
        <v>34.275986041517541</v>
      </c>
      <c r="K61" s="130">
        <f t="shared" si="4"/>
        <v>367265.79000000004</v>
      </c>
      <c r="L61" s="147"/>
    </row>
    <row r="62" spans="1:12" s="36" customFormat="1" ht="53.25" customHeight="1">
      <c r="A62" s="59" t="s">
        <v>259</v>
      </c>
      <c r="B62" s="60"/>
      <c r="C62" s="38" t="s">
        <v>260</v>
      </c>
      <c r="D62" s="201">
        <v>309044.67</v>
      </c>
      <c r="E62" s="201" t="s">
        <v>402</v>
      </c>
      <c r="F62" s="46">
        <f>-1867.18</f>
        <v>-1867.18</v>
      </c>
      <c r="G62" s="73">
        <v>22100</v>
      </c>
      <c r="H62" s="73">
        <v>22100</v>
      </c>
      <c r="I62" s="73">
        <v>150355.78</v>
      </c>
      <c r="J62" s="133">
        <f t="shared" si="0"/>
        <v>680.34289592760183</v>
      </c>
      <c r="K62" s="130">
        <f>I62</f>
        <v>150355.78</v>
      </c>
      <c r="L62" s="158"/>
    </row>
    <row r="63" spans="1:12" s="36" customFormat="1" ht="23.25" hidden="1" customHeight="1">
      <c r="A63" s="59" t="s">
        <v>272</v>
      </c>
      <c r="B63" s="60"/>
      <c r="C63" s="38" t="s">
        <v>269</v>
      </c>
      <c r="D63" s="201"/>
      <c r="E63" s="201"/>
      <c r="F63" s="46"/>
      <c r="G63" s="73"/>
      <c r="H63" s="73">
        <f>1085-15504.6-6379.4+4487.68+5508</f>
        <v>-10803.32</v>
      </c>
      <c r="I63" s="73">
        <f>1085-15504.6-6379.4+4487.68+5508</f>
        <v>-10803.32</v>
      </c>
      <c r="J63" s="133">
        <f t="shared" si="0"/>
        <v>100</v>
      </c>
      <c r="K63" s="130">
        <f t="shared" ref="K63:K94" si="7">H63-I63</f>
        <v>0</v>
      </c>
      <c r="L63" s="158"/>
    </row>
    <row r="64" spans="1:12" s="36" customFormat="1" ht="24.75" hidden="1" customHeight="1">
      <c r="A64" s="59" t="s">
        <v>278</v>
      </c>
      <c r="B64" s="60"/>
      <c r="C64" s="38" t="s">
        <v>270</v>
      </c>
      <c r="D64" s="201"/>
      <c r="E64" s="201"/>
      <c r="F64" s="46"/>
      <c r="G64" s="73"/>
      <c r="H64" s="73">
        <f>H65</f>
        <v>442.78000000000003</v>
      </c>
      <c r="I64" s="73">
        <f>I65</f>
        <v>442.78000000000003</v>
      </c>
      <c r="J64" s="133">
        <f t="shared" si="0"/>
        <v>100</v>
      </c>
      <c r="K64" s="130">
        <f t="shared" si="7"/>
        <v>0</v>
      </c>
      <c r="L64" s="158"/>
    </row>
    <row r="65" spans="1:12" s="36" customFormat="1" ht="24.75" hidden="1" customHeight="1">
      <c r="A65" s="59" t="s">
        <v>279</v>
      </c>
      <c r="B65" s="60"/>
      <c r="C65" s="38" t="s">
        <v>271</v>
      </c>
      <c r="D65" s="201"/>
      <c r="E65" s="201"/>
      <c r="F65" s="46"/>
      <c r="G65" s="73"/>
      <c r="H65" s="73">
        <f>289.22-246.42-34.83+434.81</f>
        <v>442.78000000000003</v>
      </c>
      <c r="I65" s="73">
        <f>289.22-246.42-34.83+434.81</f>
        <v>442.78000000000003</v>
      </c>
      <c r="J65" s="133">
        <f t="shared" si="0"/>
        <v>100</v>
      </c>
      <c r="K65" s="130">
        <f t="shared" si="7"/>
        <v>0</v>
      </c>
      <c r="L65" s="158"/>
    </row>
    <row r="66" spans="1:12" s="36" customFormat="1" hidden="1">
      <c r="A66" s="59" t="s">
        <v>261</v>
      </c>
      <c r="B66" s="60"/>
      <c r="C66" s="38" t="s">
        <v>262</v>
      </c>
      <c r="D66" s="201"/>
      <c r="E66" s="201"/>
      <c r="F66" s="46">
        <f>F67</f>
        <v>443531.61</v>
      </c>
      <c r="G66" s="73"/>
      <c r="H66" s="73">
        <f>H67</f>
        <v>536700</v>
      </c>
      <c r="I66" s="73">
        <f>I67</f>
        <v>41178.43</v>
      </c>
      <c r="J66" s="133">
        <f t="shared" si="0"/>
        <v>7.6725228246692749</v>
      </c>
      <c r="K66" s="130">
        <f t="shared" si="7"/>
        <v>495521.57</v>
      </c>
      <c r="L66" s="158"/>
    </row>
    <row r="67" spans="1:12" s="36" customFormat="1" ht="48" customHeight="1">
      <c r="A67" s="59" t="s">
        <v>263</v>
      </c>
      <c r="B67" s="60"/>
      <c r="C67" s="38" t="s">
        <v>264</v>
      </c>
      <c r="D67" s="201">
        <v>38549.74</v>
      </c>
      <c r="E67" s="201" t="s">
        <v>401</v>
      </c>
      <c r="F67" s="46">
        <v>443531.61</v>
      </c>
      <c r="G67" s="73">
        <v>536700</v>
      </c>
      <c r="H67" s="73">
        <v>536700</v>
      </c>
      <c r="I67" s="73">
        <v>41178.43</v>
      </c>
      <c r="J67" s="133">
        <f t="shared" si="0"/>
        <v>7.6725228246692749</v>
      </c>
      <c r="K67" s="130">
        <f t="shared" si="7"/>
        <v>495521.57</v>
      </c>
      <c r="L67" s="158"/>
    </row>
    <row r="68" spans="1:12" ht="24.75" hidden="1" customHeight="1">
      <c r="A68" s="59" t="s">
        <v>273</v>
      </c>
      <c r="B68" s="60"/>
      <c r="C68" s="38" t="s">
        <v>274</v>
      </c>
      <c r="D68" s="38"/>
      <c r="E68" s="38"/>
      <c r="F68" s="46"/>
      <c r="G68" s="73"/>
      <c r="H68" s="73">
        <f>20159.63+9694.06+15556.3+20798.46+42100.35+46915.82+23005.92+76886.23</f>
        <v>255116.77000000002</v>
      </c>
      <c r="I68" s="73">
        <f>20159.63+9694.06+15556.3+20798.46+42100.35+46915.82+23005.92+76886.23</f>
        <v>255116.77000000002</v>
      </c>
      <c r="J68" s="133">
        <f t="shared" si="0"/>
        <v>99.999999999999986</v>
      </c>
      <c r="K68" s="130">
        <f t="shared" si="7"/>
        <v>0</v>
      </c>
      <c r="L68" s="147"/>
    </row>
    <row r="69" spans="1:12" ht="24" hidden="1" customHeight="1">
      <c r="A69" s="59" t="s">
        <v>275</v>
      </c>
      <c r="B69" s="60"/>
      <c r="C69" s="38" t="s">
        <v>276</v>
      </c>
      <c r="D69" s="38"/>
      <c r="E69" s="38"/>
      <c r="F69" s="46"/>
      <c r="G69" s="73"/>
      <c r="H69" s="73">
        <f>H70</f>
        <v>3915.5299999999997</v>
      </c>
      <c r="I69" s="73">
        <f>I70</f>
        <v>3915.5299999999997</v>
      </c>
      <c r="J69" s="133">
        <f t="shared" si="0"/>
        <v>100</v>
      </c>
      <c r="K69" s="130">
        <f t="shared" si="7"/>
        <v>0</v>
      </c>
      <c r="L69" s="147"/>
    </row>
    <row r="70" spans="1:12" ht="27.75" hidden="1" customHeight="1">
      <c r="A70" s="59" t="s">
        <v>280</v>
      </c>
      <c r="B70" s="60"/>
      <c r="C70" s="38" t="s">
        <v>277</v>
      </c>
      <c r="D70" s="38"/>
      <c r="E70" s="38"/>
      <c r="F70" s="46"/>
      <c r="G70" s="73"/>
      <c r="H70" s="73">
        <f>914.69+701.13+245.81+821.83+465.2+578.02+57.77+131.08</f>
        <v>3915.5299999999997</v>
      </c>
      <c r="I70" s="73">
        <f>914.69+701.13+245.81+821.83+465.2+578.02+57.77+131.08</f>
        <v>3915.5299999999997</v>
      </c>
      <c r="J70" s="133">
        <f t="shared" si="0"/>
        <v>100</v>
      </c>
      <c r="K70" s="130">
        <f t="shared" si="7"/>
        <v>0</v>
      </c>
      <c r="L70" s="147"/>
    </row>
    <row r="71" spans="1:12" ht="27.75" hidden="1" customHeight="1">
      <c r="A71" s="59" t="s">
        <v>293</v>
      </c>
      <c r="B71" s="60"/>
      <c r="C71" s="38" t="s">
        <v>292</v>
      </c>
      <c r="D71" s="38"/>
      <c r="E71" s="38"/>
      <c r="F71" s="62">
        <v>0</v>
      </c>
      <c r="G71" s="228"/>
      <c r="H71" s="73">
        <f>415-415</f>
        <v>0</v>
      </c>
      <c r="I71" s="73">
        <f>415-415</f>
        <v>0</v>
      </c>
      <c r="J71" s="133" t="e">
        <f t="shared" si="0"/>
        <v>#DIV/0!</v>
      </c>
      <c r="K71" s="130">
        <f t="shared" si="7"/>
        <v>0</v>
      </c>
      <c r="L71" s="147"/>
    </row>
    <row r="72" spans="1:12" s="22" customFormat="1">
      <c r="A72" s="18" t="s">
        <v>69</v>
      </c>
      <c r="B72" s="19"/>
      <c r="C72" s="20" t="s">
        <v>70</v>
      </c>
      <c r="D72" s="21">
        <v>123000</v>
      </c>
      <c r="E72" s="21">
        <v>22400</v>
      </c>
      <c r="F72" s="51">
        <v>12300</v>
      </c>
      <c r="G72" s="51">
        <v>12000</v>
      </c>
      <c r="H72" s="29">
        <v>12000</v>
      </c>
      <c r="I72" s="29">
        <v>5000</v>
      </c>
      <c r="J72" s="133">
        <f t="shared" si="0"/>
        <v>41.666666666666664</v>
      </c>
      <c r="K72" s="130">
        <f t="shared" si="7"/>
        <v>7000</v>
      </c>
      <c r="L72" s="157"/>
    </row>
    <row r="73" spans="1:12" ht="24" hidden="1" customHeight="1">
      <c r="A73" s="14" t="s">
        <v>71</v>
      </c>
      <c r="B73" s="15"/>
      <c r="C73" s="16" t="s">
        <v>72</v>
      </c>
      <c r="D73" s="12"/>
      <c r="E73" s="12"/>
      <c r="F73" s="28">
        <f>F74</f>
        <v>20800</v>
      </c>
      <c r="G73" s="28"/>
      <c r="H73" s="28">
        <f>H74</f>
        <v>8300</v>
      </c>
      <c r="I73" s="28">
        <f>I74</f>
        <v>8300</v>
      </c>
      <c r="J73" s="133">
        <f t="shared" si="0"/>
        <v>100</v>
      </c>
      <c r="K73" s="130">
        <f t="shared" si="7"/>
        <v>0</v>
      </c>
      <c r="L73" s="147"/>
    </row>
    <row r="74" spans="1:12" ht="49.5" hidden="1" customHeight="1">
      <c r="A74" s="14" t="s">
        <v>73</v>
      </c>
      <c r="B74" s="15"/>
      <c r="C74" s="16" t="s">
        <v>74</v>
      </c>
      <c r="D74" s="12"/>
      <c r="E74" s="12"/>
      <c r="F74" s="28">
        <v>20800</v>
      </c>
      <c r="G74" s="28"/>
      <c r="H74" s="28">
        <f>H75</f>
        <v>8300</v>
      </c>
      <c r="I74" s="28">
        <f>I75</f>
        <v>8300</v>
      </c>
      <c r="J74" s="133">
        <f t="shared" si="0"/>
        <v>100</v>
      </c>
      <c r="K74" s="130">
        <f t="shared" si="7"/>
        <v>0</v>
      </c>
      <c r="L74" s="147"/>
    </row>
    <row r="75" spans="1:12" ht="48" hidden="1" customHeight="1">
      <c r="A75" s="14" t="s">
        <v>75</v>
      </c>
      <c r="B75" s="15"/>
      <c r="C75" s="16" t="s">
        <v>76</v>
      </c>
      <c r="D75" s="12"/>
      <c r="E75" s="12"/>
      <c r="F75" s="74">
        <v>0</v>
      </c>
      <c r="G75" s="74"/>
      <c r="H75" s="28">
        <f>600+2500+600+700+1600+1100+1200</f>
        <v>8300</v>
      </c>
      <c r="I75" s="28">
        <f>600+2500+600+700+1600+1100+1200</f>
        <v>8300</v>
      </c>
      <c r="J75" s="133">
        <f t="shared" si="0"/>
        <v>100</v>
      </c>
      <c r="K75" s="130">
        <f t="shared" si="7"/>
        <v>0</v>
      </c>
      <c r="L75" s="147"/>
    </row>
    <row r="76" spans="1:12" s="22" customFormat="1" ht="50.25" customHeight="1">
      <c r="A76" s="18" t="s">
        <v>77</v>
      </c>
      <c r="B76" s="19"/>
      <c r="C76" s="20" t="s">
        <v>78</v>
      </c>
      <c r="D76" s="21">
        <v>38715.480000000003</v>
      </c>
      <c r="E76" s="21">
        <v>226426.55</v>
      </c>
      <c r="F76" s="51">
        <v>2853</v>
      </c>
      <c r="G76" s="51">
        <v>3000</v>
      </c>
      <c r="H76" s="29">
        <v>3000</v>
      </c>
      <c r="I76" s="29">
        <v>3043.78</v>
      </c>
      <c r="J76" s="133">
        <f t="shared" si="0"/>
        <v>101.45933333333333</v>
      </c>
      <c r="K76" s="130">
        <f t="shared" si="7"/>
        <v>-43.7800000000002</v>
      </c>
      <c r="L76" s="157"/>
    </row>
    <row r="77" spans="1:12" ht="49.5" hidden="1" customHeight="1">
      <c r="A77" s="47" t="s">
        <v>79</v>
      </c>
      <c r="B77" s="15"/>
      <c r="C77" s="16" t="s">
        <v>80</v>
      </c>
      <c r="D77" s="210"/>
      <c r="E77" s="210"/>
      <c r="F77" s="28">
        <f>F78+F80</f>
        <v>2120</v>
      </c>
      <c r="G77" s="28"/>
      <c r="H77" s="28">
        <f>H78+H80</f>
        <v>2853</v>
      </c>
      <c r="I77" s="28">
        <f>I78+I80</f>
        <v>2853</v>
      </c>
      <c r="J77" s="133">
        <f t="shared" si="0"/>
        <v>100</v>
      </c>
      <c r="K77" s="130">
        <f t="shared" si="7"/>
        <v>0</v>
      </c>
      <c r="L77" s="147"/>
    </row>
    <row r="78" spans="1:12" ht="47.25" hidden="1" customHeight="1">
      <c r="A78" s="14" t="s">
        <v>81</v>
      </c>
      <c r="B78" s="15"/>
      <c r="C78" s="16" t="s">
        <v>82</v>
      </c>
      <c r="D78" s="210"/>
      <c r="E78" s="210"/>
      <c r="F78" s="28"/>
      <c r="G78" s="28"/>
      <c r="H78" s="28"/>
      <c r="I78" s="28"/>
      <c r="J78" s="133" t="e">
        <f t="shared" si="0"/>
        <v>#DIV/0!</v>
      </c>
      <c r="K78" s="130">
        <f t="shared" si="7"/>
        <v>0</v>
      </c>
      <c r="L78" s="147"/>
    </row>
    <row r="79" spans="1:12" ht="48.75" hidden="1" customHeight="1">
      <c r="A79" s="47" t="s">
        <v>83</v>
      </c>
      <c r="B79" s="15"/>
      <c r="C79" s="16" t="s">
        <v>84</v>
      </c>
      <c r="D79" s="210"/>
      <c r="E79" s="210"/>
      <c r="F79" s="28"/>
      <c r="G79" s="28"/>
      <c r="H79" s="28"/>
      <c r="I79" s="28"/>
      <c r="J79" s="133" t="e">
        <f t="shared" ref="J79:J127" si="8">I79*100/H79</f>
        <v>#DIV/0!</v>
      </c>
      <c r="K79" s="130">
        <f t="shared" si="7"/>
        <v>0</v>
      </c>
      <c r="L79" s="147"/>
    </row>
    <row r="80" spans="1:12" ht="50.25" hidden="1" customHeight="1">
      <c r="A80" s="47" t="s">
        <v>85</v>
      </c>
      <c r="B80" s="15"/>
      <c r="C80" s="16" t="s">
        <v>86</v>
      </c>
      <c r="D80" s="210"/>
      <c r="E80" s="210"/>
      <c r="F80" s="28">
        <f>F81</f>
        <v>2120</v>
      </c>
      <c r="G80" s="28"/>
      <c r="H80" s="28">
        <f>H81</f>
        <v>2853</v>
      </c>
      <c r="I80" s="28">
        <f>I81</f>
        <v>2853</v>
      </c>
      <c r="J80" s="133">
        <f t="shared" si="8"/>
        <v>100</v>
      </c>
      <c r="K80" s="130">
        <f t="shared" si="7"/>
        <v>0</v>
      </c>
      <c r="L80" s="147"/>
    </row>
    <row r="81" spans="1:12" ht="36.75" hidden="1" customHeight="1">
      <c r="A81" s="14" t="s">
        <v>87</v>
      </c>
      <c r="B81" s="15"/>
      <c r="C81" s="16" t="s">
        <v>88</v>
      </c>
      <c r="D81" s="210"/>
      <c r="E81" s="210"/>
      <c r="F81" s="28">
        <v>2120</v>
      </c>
      <c r="G81" s="28"/>
      <c r="H81" s="28">
        <f>1948+455+450</f>
        <v>2853</v>
      </c>
      <c r="I81" s="28">
        <f>1948+455+450</f>
        <v>2853</v>
      </c>
      <c r="J81" s="133">
        <f t="shared" si="8"/>
        <v>100</v>
      </c>
      <c r="K81" s="130">
        <f t="shared" si="7"/>
        <v>0</v>
      </c>
      <c r="L81" s="147"/>
    </row>
    <row r="82" spans="1:12" ht="23.25" hidden="1">
      <c r="A82" s="53" t="s">
        <v>239</v>
      </c>
      <c r="B82" s="54"/>
      <c r="C82" s="55" t="s">
        <v>241</v>
      </c>
      <c r="D82" s="211"/>
      <c r="E82" s="211"/>
      <c r="F82" s="31" t="s">
        <v>25</v>
      </c>
      <c r="G82" s="31"/>
      <c r="H82" s="31"/>
      <c r="I82" s="31"/>
      <c r="J82" s="133" t="e">
        <f t="shared" si="8"/>
        <v>#DIV/0!</v>
      </c>
      <c r="K82" s="130">
        <f t="shared" si="7"/>
        <v>0</v>
      </c>
      <c r="L82" s="147"/>
    </row>
    <row r="83" spans="1:12" ht="45.75" hidden="1">
      <c r="A83" s="53" t="s">
        <v>240</v>
      </c>
      <c r="B83" s="54"/>
      <c r="C83" s="55" t="s">
        <v>242</v>
      </c>
      <c r="D83" s="211"/>
      <c r="E83" s="211"/>
      <c r="F83" s="31" t="s">
        <v>25</v>
      </c>
      <c r="G83" s="31"/>
      <c r="H83" s="31"/>
      <c r="I83" s="31"/>
      <c r="J83" s="133" t="e">
        <f t="shared" si="8"/>
        <v>#DIV/0!</v>
      </c>
      <c r="K83" s="130">
        <f t="shared" si="7"/>
        <v>0</v>
      </c>
      <c r="L83" s="147"/>
    </row>
    <row r="84" spans="1:12" s="25" customFormat="1" ht="58.5" hidden="1" customHeight="1">
      <c r="A84" s="53" t="s">
        <v>238</v>
      </c>
      <c r="B84" s="63"/>
      <c r="C84" s="55" t="s">
        <v>243</v>
      </c>
      <c r="D84" s="211"/>
      <c r="E84" s="211"/>
      <c r="F84" s="31" t="s">
        <v>25</v>
      </c>
      <c r="G84" s="31"/>
      <c r="H84" s="31"/>
      <c r="I84" s="31"/>
      <c r="J84" s="133" t="e">
        <f t="shared" si="8"/>
        <v>#DIV/0!</v>
      </c>
      <c r="K84" s="130">
        <f t="shared" si="7"/>
        <v>0</v>
      </c>
      <c r="L84" s="161"/>
    </row>
    <row r="85" spans="1:12" s="22" customFormat="1" ht="29.25" customHeight="1">
      <c r="A85" s="18" t="s">
        <v>89</v>
      </c>
      <c r="B85" s="19"/>
      <c r="C85" s="20" t="s">
        <v>281</v>
      </c>
      <c r="D85" s="197">
        <v>5288.41</v>
      </c>
      <c r="E85" s="197">
        <v>5207.6000000000004</v>
      </c>
      <c r="F85" s="51"/>
      <c r="G85" s="51">
        <v>0</v>
      </c>
      <c r="H85" s="51">
        <f t="shared" ref="F85:I87" si="9">H86</f>
        <v>0</v>
      </c>
      <c r="I85" s="51">
        <f t="shared" si="9"/>
        <v>0</v>
      </c>
      <c r="J85" s="133">
        <v>0</v>
      </c>
      <c r="K85" s="130">
        <f t="shared" si="7"/>
        <v>0</v>
      </c>
      <c r="L85" s="157"/>
    </row>
    <row r="86" spans="1:12" ht="57" hidden="1">
      <c r="A86" s="14" t="s">
        <v>90</v>
      </c>
      <c r="B86" s="15"/>
      <c r="C86" s="16" t="s">
        <v>282</v>
      </c>
      <c r="D86" s="210"/>
      <c r="E86" s="210"/>
      <c r="F86" s="28">
        <f t="shared" si="9"/>
        <v>2000</v>
      </c>
      <c r="G86" s="28"/>
      <c r="H86" s="28">
        <f t="shared" si="9"/>
        <v>0</v>
      </c>
      <c r="I86" s="28">
        <f t="shared" si="9"/>
        <v>0</v>
      </c>
      <c r="J86" s="133" t="e">
        <f t="shared" si="8"/>
        <v>#DIV/0!</v>
      </c>
      <c r="K86" s="130">
        <f t="shared" si="7"/>
        <v>0</v>
      </c>
      <c r="L86" s="147"/>
    </row>
    <row r="87" spans="1:12" ht="34.5" hidden="1">
      <c r="A87" s="14" t="s">
        <v>91</v>
      </c>
      <c r="B87" s="15"/>
      <c r="C87" s="16" t="s">
        <v>92</v>
      </c>
      <c r="D87" s="210"/>
      <c r="E87" s="210"/>
      <c r="F87" s="28">
        <f t="shared" si="9"/>
        <v>2000</v>
      </c>
      <c r="G87" s="28"/>
      <c r="H87" s="28">
        <f t="shared" si="9"/>
        <v>0</v>
      </c>
      <c r="I87" s="28">
        <f t="shared" si="9"/>
        <v>0</v>
      </c>
      <c r="J87" s="133" t="e">
        <f t="shared" si="8"/>
        <v>#DIV/0!</v>
      </c>
      <c r="K87" s="130">
        <f t="shared" si="7"/>
        <v>0</v>
      </c>
      <c r="L87" s="147"/>
    </row>
    <row r="88" spans="1:12" ht="27" hidden="1" customHeight="1">
      <c r="A88" s="14" t="s">
        <v>93</v>
      </c>
      <c r="B88" s="15"/>
      <c r="C88" s="16" t="s">
        <v>94</v>
      </c>
      <c r="D88" s="210"/>
      <c r="E88" s="210"/>
      <c r="F88" s="28">
        <v>2000</v>
      </c>
      <c r="G88" s="28"/>
      <c r="H88" s="28">
        <v>0</v>
      </c>
      <c r="I88" s="28">
        <v>0</v>
      </c>
      <c r="J88" s="133" t="e">
        <f t="shared" si="8"/>
        <v>#DIV/0!</v>
      </c>
      <c r="K88" s="130">
        <f t="shared" si="7"/>
        <v>0</v>
      </c>
      <c r="L88" s="147"/>
    </row>
    <row r="89" spans="1:12" ht="26.25" customHeight="1">
      <c r="A89" s="14" t="s">
        <v>239</v>
      </c>
      <c r="B89" s="15"/>
      <c r="C89" s="16" t="s">
        <v>241</v>
      </c>
      <c r="D89" s="12">
        <v>0</v>
      </c>
      <c r="E89" s="210">
        <v>100</v>
      </c>
      <c r="F89" s="12">
        <f>F92+F93</f>
        <v>21000</v>
      </c>
      <c r="G89" s="28">
        <v>2000</v>
      </c>
      <c r="H89" s="28">
        <v>2000</v>
      </c>
      <c r="I89" s="28">
        <v>0</v>
      </c>
      <c r="J89" s="133">
        <f t="shared" si="8"/>
        <v>0</v>
      </c>
      <c r="K89" s="130">
        <f t="shared" si="7"/>
        <v>2000</v>
      </c>
      <c r="L89" s="147"/>
    </row>
    <row r="90" spans="1:12" ht="45.75" hidden="1">
      <c r="A90" s="14" t="s">
        <v>240</v>
      </c>
      <c r="B90" s="15"/>
      <c r="C90" s="16" t="s">
        <v>242</v>
      </c>
      <c r="D90" s="210"/>
      <c r="E90" s="210"/>
      <c r="F90" s="12" t="s">
        <v>25</v>
      </c>
      <c r="G90" s="28"/>
      <c r="H90" s="28">
        <v>1000</v>
      </c>
      <c r="I90" s="28">
        <v>1000</v>
      </c>
      <c r="J90" s="133">
        <f t="shared" si="8"/>
        <v>100</v>
      </c>
      <c r="K90" s="130">
        <f t="shared" si="7"/>
        <v>0</v>
      </c>
      <c r="L90" s="147"/>
    </row>
    <row r="91" spans="1:12" ht="57" hidden="1">
      <c r="A91" s="14" t="s">
        <v>238</v>
      </c>
      <c r="B91" s="15"/>
      <c r="C91" s="16" t="s">
        <v>243</v>
      </c>
      <c r="D91" s="210"/>
      <c r="E91" s="210"/>
      <c r="F91" s="12" t="s">
        <v>25</v>
      </c>
      <c r="G91" s="28"/>
      <c r="H91" s="28">
        <v>1000</v>
      </c>
      <c r="I91" s="28">
        <v>1000</v>
      </c>
      <c r="J91" s="133">
        <f t="shared" si="8"/>
        <v>100</v>
      </c>
      <c r="K91" s="130">
        <f t="shared" si="7"/>
        <v>0</v>
      </c>
      <c r="L91" s="147"/>
    </row>
    <row r="92" spans="1:12" ht="75.75" customHeight="1">
      <c r="A92" s="18" t="s">
        <v>238</v>
      </c>
      <c r="B92" s="152"/>
      <c r="C92" s="153" t="s">
        <v>407</v>
      </c>
      <c r="D92" s="171"/>
      <c r="E92" s="171">
        <v>13205.64</v>
      </c>
      <c r="F92" s="29">
        <v>1000</v>
      </c>
      <c r="G92" s="29">
        <v>0</v>
      </c>
      <c r="H92" s="29">
        <v>0</v>
      </c>
      <c r="I92" s="29">
        <v>0</v>
      </c>
      <c r="J92" s="133">
        <v>0</v>
      </c>
      <c r="K92" s="130">
        <f t="shared" si="7"/>
        <v>0</v>
      </c>
      <c r="L92" s="147"/>
    </row>
    <row r="93" spans="1:12" ht="35.25" customHeight="1">
      <c r="A93" s="18" t="s">
        <v>318</v>
      </c>
      <c r="B93" s="152"/>
      <c r="C93" s="153" t="s">
        <v>319</v>
      </c>
      <c r="D93" s="171"/>
      <c r="E93" s="171"/>
      <c r="F93" s="29">
        <v>20000</v>
      </c>
      <c r="G93" s="29">
        <v>0</v>
      </c>
      <c r="H93" s="29">
        <v>0</v>
      </c>
      <c r="I93" s="29">
        <v>0</v>
      </c>
      <c r="J93" s="133">
        <v>0</v>
      </c>
      <c r="K93" s="130">
        <f t="shared" si="7"/>
        <v>0</v>
      </c>
      <c r="L93" s="147"/>
    </row>
    <row r="94" spans="1:12" ht="45.75" hidden="1">
      <c r="A94" s="14" t="s">
        <v>320</v>
      </c>
      <c r="B94" s="15"/>
      <c r="C94" s="16" t="s">
        <v>321</v>
      </c>
      <c r="D94" s="210"/>
      <c r="E94" s="210"/>
      <c r="F94" s="28">
        <f>F95</f>
        <v>0</v>
      </c>
      <c r="G94" s="28"/>
      <c r="H94" s="28">
        <f>H95</f>
        <v>10000</v>
      </c>
      <c r="I94" s="28">
        <f>I95</f>
        <v>10000</v>
      </c>
      <c r="J94" s="133">
        <f t="shared" si="8"/>
        <v>100</v>
      </c>
      <c r="K94" s="130">
        <f t="shared" si="7"/>
        <v>0</v>
      </c>
      <c r="L94" s="147"/>
    </row>
    <row r="95" spans="1:12" ht="90.75" hidden="1">
      <c r="A95" s="14" t="s">
        <v>322</v>
      </c>
      <c r="B95" s="15"/>
      <c r="C95" s="16" t="s">
        <v>323</v>
      </c>
      <c r="D95" s="210"/>
      <c r="E95" s="210"/>
      <c r="F95" s="28">
        <v>0</v>
      </c>
      <c r="G95" s="28"/>
      <c r="H95" s="28">
        <v>10000</v>
      </c>
      <c r="I95" s="28">
        <v>10000</v>
      </c>
      <c r="J95" s="133">
        <f t="shared" si="8"/>
        <v>100</v>
      </c>
      <c r="K95" s="130">
        <f t="shared" ref="K95:K127" si="10">H95-I95</f>
        <v>0</v>
      </c>
      <c r="L95" s="147"/>
    </row>
    <row r="96" spans="1:12" s="22" customFormat="1" hidden="1">
      <c r="A96" s="64" t="s">
        <v>234</v>
      </c>
      <c r="B96" s="65"/>
      <c r="C96" s="66" t="s">
        <v>236</v>
      </c>
      <c r="D96" s="212"/>
      <c r="E96" s="212"/>
      <c r="F96" s="67">
        <f>F97+F99</f>
        <v>0</v>
      </c>
      <c r="G96" s="67"/>
      <c r="H96" s="67">
        <f>H97+H99</f>
        <v>0</v>
      </c>
      <c r="I96" s="67">
        <f>I97+I99</f>
        <v>0</v>
      </c>
      <c r="J96" s="133" t="e">
        <f t="shared" si="8"/>
        <v>#DIV/0!</v>
      </c>
      <c r="K96" s="130">
        <f t="shared" si="10"/>
        <v>0</v>
      </c>
      <c r="L96" s="157"/>
    </row>
    <row r="97" spans="1:12" s="25" customFormat="1" ht="17.25" hidden="1" customHeight="1">
      <c r="A97" s="68" t="s">
        <v>237</v>
      </c>
      <c r="B97" s="63"/>
      <c r="C97" s="69" t="s">
        <v>235</v>
      </c>
      <c r="D97" s="213"/>
      <c r="E97" s="213"/>
      <c r="F97" s="31">
        <v>0</v>
      </c>
      <c r="G97" s="31"/>
      <c r="H97" s="31">
        <f>H98</f>
        <v>0</v>
      </c>
      <c r="I97" s="31">
        <f>I98</f>
        <v>0</v>
      </c>
      <c r="J97" s="133" t="e">
        <f t="shared" si="8"/>
        <v>#DIV/0!</v>
      </c>
      <c r="K97" s="130">
        <f t="shared" si="10"/>
        <v>0</v>
      </c>
      <c r="L97" s="161"/>
    </row>
    <row r="98" spans="1:12" s="25" customFormat="1" ht="24" hidden="1" customHeight="1">
      <c r="A98" s="68" t="s">
        <v>233</v>
      </c>
      <c r="B98" s="63"/>
      <c r="C98" s="69" t="s">
        <v>231</v>
      </c>
      <c r="D98" s="213"/>
      <c r="E98" s="213"/>
      <c r="F98" s="31">
        <v>0</v>
      </c>
      <c r="G98" s="31"/>
      <c r="H98" s="31">
        <v>0</v>
      </c>
      <c r="I98" s="31">
        <v>0</v>
      </c>
      <c r="J98" s="133" t="e">
        <f t="shared" si="8"/>
        <v>#DIV/0!</v>
      </c>
      <c r="K98" s="130">
        <f t="shared" si="10"/>
        <v>0</v>
      </c>
      <c r="L98" s="161"/>
    </row>
    <row r="99" spans="1:12" s="25" customFormat="1" ht="17.25" hidden="1" customHeight="1">
      <c r="A99" s="53" t="s">
        <v>244</v>
      </c>
      <c r="B99" s="63"/>
      <c r="C99" s="55" t="s">
        <v>246</v>
      </c>
      <c r="D99" s="211"/>
      <c r="E99" s="211"/>
      <c r="F99" s="31">
        <v>0</v>
      </c>
      <c r="G99" s="31"/>
      <c r="H99" s="31">
        <v>0</v>
      </c>
      <c r="I99" s="31">
        <v>0</v>
      </c>
      <c r="J99" s="133" t="e">
        <f t="shared" si="8"/>
        <v>#DIV/0!</v>
      </c>
      <c r="K99" s="130">
        <f t="shared" si="10"/>
        <v>0</v>
      </c>
      <c r="L99" s="161"/>
    </row>
    <row r="100" spans="1:12" s="25" customFormat="1" ht="17.25" hidden="1" customHeight="1">
      <c r="A100" s="53" t="s">
        <v>245</v>
      </c>
      <c r="B100" s="63"/>
      <c r="C100" s="55" t="s">
        <v>247</v>
      </c>
      <c r="D100" s="211"/>
      <c r="E100" s="211"/>
      <c r="F100" s="31">
        <v>0</v>
      </c>
      <c r="G100" s="31"/>
      <c r="H100" s="31">
        <v>0</v>
      </c>
      <c r="I100" s="31">
        <v>0</v>
      </c>
      <c r="J100" s="133" t="e">
        <f t="shared" si="8"/>
        <v>#DIV/0!</v>
      </c>
      <c r="K100" s="130">
        <f t="shared" si="10"/>
        <v>0</v>
      </c>
      <c r="L100" s="161"/>
    </row>
    <row r="101" spans="1:12" s="135" customFormat="1" ht="17.25" customHeight="1">
      <c r="A101" s="131" t="s">
        <v>95</v>
      </c>
      <c r="B101" s="132"/>
      <c r="C101" s="20" t="s">
        <v>96</v>
      </c>
      <c r="D101" s="209"/>
      <c r="E101" s="209">
        <v>2798710.83</v>
      </c>
      <c r="F101" s="133">
        <f>F106+F107+F113+F114+F116+F119+F120+F123+F127</f>
        <v>2996367</v>
      </c>
      <c r="G101" s="133">
        <f>G106+G107+G112+G116+G119+G120</f>
        <v>2884693</v>
      </c>
      <c r="H101" s="133">
        <f>H106+H107+H112+H116+H119+H120+H125+H114+H124+H126+H127</f>
        <v>3899423</v>
      </c>
      <c r="I101" s="133">
        <f>I106+I107+I112+I116+I119+I120+I125</f>
        <v>1471963</v>
      </c>
      <c r="J101" s="133">
        <f t="shared" si="8"/>
        <v>37.748225827257009</v>
      </c>
      <c r="K101" s="130">
        <f t="shared" si="10"/>
        <v>2427460</v>
      </c>
      <c r="L101" s="162"/>
    </row>
    <row r="102" spans="1:12" ht="27" hidden="1" customHeight="1">
      <c r="A102" s="14" t="s">
        <v>97</v>
      </c>
      <c r="B102" s="15"/>
      <c r="C102" s="16" t="s">
        <v>98</v>
      </c>
      <c r="D102" s="210"/>
      <c r="E102" s="210"/>
      <c r="F102" s="28">
        <f>F103+F110+F115+F120</f>
        <v>2956187</v>
      </c>
      <c r="G102" s="133">
        <f>F102</f>
        <v>2956187</v>
      </c>
      <c r="H102" s="28" t="e">
        <f>H105+H108+H110+H115+#REF!+H127+H123</f>
        <v>#REF!</v>
      </c>
      <c r="I102" s="28" t="e">
        <f>I105+I108+I110+I115+#REF!+I127+I123</f>
        <v>#REF!</v>
      </c>
      <c r="J102" s="133" t="e">
        <f t="shared" si="8"/>
        <v>#REF!</v>
      </c>
      <c r="K102" s="130" t="e">
        <f t="shared" si="10"/>
        <v>#REF!</v>
      </c>
      <c r="L102" s="147"/>
    </row>
    <row r="103" spans="1:12" ht="16.5" hidden="1" customHeight="1">
      <c r="A103" s="14" t="s">
        <v>99</v>
      </c>
      <c r="B103" s="15"/>
      <c r="C103" s="16" t="s">
        <v>100</v>
      </c>
      <c r="D103" s="210"/>
      <c r="E103" s="210"/>
      <c r="F103" s="28">
        <f>F104</f>
        <v>2284500</v>
      </c>
      <c r="G103" s="133">
        <f>F103</f>
        <v>2284500</v>
      </c>
      <c r="H103" s="28">
        <f>H104+H108</f>
        <v>2459600</v>
      </c>
      <c r="I103" s="28">
        <f>I104+I108</f>
        <v>1304634</v>
      </c>
      <c r="J103" s="133">
        <f t="shared" si="8"/>
        <v>53.042527240201657</v>
      </c>
      <c r="K103" s="130">
        <f t="shared" si="10"/>
        <v>1154966</v>
      </c>
      <c r="L103" s="147"/>
    </row>
    <row r="104" spans="1:12" ht="23.25" hidden="1">
      <c r="A104" s="14" t="s">
        <v>101</v>
      </c>
      <c r="B104" s="15"/>
      <c r="C104" s="16" t="s">
        <v>102</v>
      </c>
      <c r="D104" s="210"/>
      <c r="E104" s="210"/>
      <c r="F104" s="28">
        <f>F105</f>
        <v>2284500</v>
      </c>
      <c r="G104" s="133">
        <f>F104</f>
        <v>2284500</v>
      </c>
      <c r="H104" s="28">
        <f>H105</f>
        <v>2459600</v>
      </c>
      <c r="I104" s="28">
        <f>I105</f>
        <v>1304634</v>
      </c>
      <c r="J104" s="133">
        <f t="shared" si="8"/>
        <v>53.042527240201657</v>
      </c>
      <c r="K104" s="130">
        <f t="shared" si="10"/>
        <v>1154966</v>
      </c>
      <c r="L104" s="147"/>
    </row>
    <row r="105" spans="1:12" ht="15.75" hidden="1" customHeight="1">
      <c r="A105" s="14" t="s">
        <v>103</v>
      </c>
      <c r="B105" s="15"/>
      <c r="C105" s="16" t="s">
        <v>104</v>
      </c>
      <c r="D105" s="210"/>
      <c r="E105" s="210"/>
      <c r="F105" s="28">
        <f>F106+F107</f>
        <v>2284500</v>
      </c>
      <c r="G105" s="133">
        <f>F105</f>
        <v>2284500</v>
      </c>
      <c r="H105" s="28">
        <f>H107+H106</f>
        <v>2459600</v>
      </c>
      <c r="I105" s="28">
        <f>I107+I106</f>
        <v>1304634</v>
      </c>
      <c r="J105" s="133">
        <f t="shared" si="8"/>
        <v>53.042527240201657</v>
      </c>
      <c r="K105" s="130">
        <f t="shared" si="10"/>
        <v>1154966</v>
      </c>
      <c r="L105" s="147"/>
    </row>
    <row r="106" spans="1:12" ht="45" customHeight="1">
      <c r="A106" s="14" t="s">
        <v>105</v>
      </c>
      <c r="B106" s="15"/>
      <c r="C106" s="16" t="s">
        <v>106</v>
      </c>
      <c r="D106" s="210"/>
      <c r="E106" s="210">
        <v>851250</v>
      </c>
      <c r="F106" s="28">
        <v>876600</v>
      </c>
      <c r="G106" s="133">
        <v>1166900</v>
      </c>
      <c r="H106" s="133">
        <v>1166900</v>
      </c>
      <c r="I106" s="28">
        <v>583284</v>
      </c>
      <c r="J106" s="133">
        <f t="shared" si="8"/>
        <v>49.985774273716686</v>
      </c>
      <c r="K106" s="130">
        <f t="shared" si="10"/>
        <v>583616</v>
      </c>
      <c r="L106" s="147"/>
    </row>
    <row r="107" spans="1:12" s="25" customFormat="1" ht="43.5" customHeight="1">
      <c r="A107" s="70" t="s">
        <v>205</v>
      </c>
      <c r="B107" s="71"/>
      <c r="C107" s="72" t="s">
        <v>206</v>
      </c>
      <c r="D107" s="214"/>
      <c r="E107" s="214">
        <v>401000</v>
      </c>
      <c r="F107" s="28">
        <v>1407900</v>
      </c>
      <c r="G107" s="133">
        <v>1292700</v>
      </c>
      <c r="H107" s="133">
        <v>1292700</v>
      </c>
      <c r="I107" s="28">
        <v>721350</v>
      </c>
      <c r="J107" s="133">
        <f t="shared" si="8"/>
        <v>55.80181016477141</v>
      </c>
      <c r="K107" s="130">
        <f t="shared" si="10"/>
        <v>571350</v>
      </c>
      <c r="L107" s="161"/>
    </row>
    <row r="108" spans="1:12" ht="34.5" hidden="1">
      <c r="A108" s="53" t="s">
        <v>107</v>
      </c>
      <c r="B108" s="54"/>
      <c r="C108" s="55" t="s">
        <v>108</v>
      </c>
      <c r="D108" s="211"/>
      <c r="E108" s="211"/>
      <c r="F108" s="31">
        <f>F109</f>
        <v>0</v>
      </c>
      <c r="G108" s="133">
        <f>F108</f>
        <v>0</v>
      </c>
      <c r="H108" s="31">
        <f>H109</f>
        <v>0</v>
      </c>
      <c r="I108" s="31">
        <f>I109</f>
        <v>0</v>
      </c>
      <c r="J108" s="133" t="e">
        <f t="shared" si="8"/>
        <v>#DIV/0!</v>
      </c>
      <c r="K108" s="130">
        <f t="shared" si="10"/>
        <v>0</v>
      </c>
      <c r="L108" s="147"/>
    </row>
    <row r="109" spans="1:12" ht="28.5" hidden="1" customHeight="1">
      <c r="A109" s="53" t="s">
        <v>109</v>
      </c>
      <c r="B109" s="54"/>
      <c r="C109" s="55" t="s">
        <v>110</v>
      </c>
      <c r="D109" s="211"/>
      <c r="E109" s="211"/>
      <c r="F109" s="31">
        <v>0</v>
      </c>
      <c r="G109" s="133">
        <f>F109</f>
        <v>0</v>
      </c>
      <c r="H109" s="31">
        <v>0</v>
      </c>
      <c r="I109" s="31">
        <v>0</v>
      </c>
      <c r="J109" s="133" t="e">
        <f t="shared" si="8"/>
        <v>#DIV/0!</v>
      </c>
      <c r="K109" s="130">
        <f t="shared" si="10"/>
        <v>0</v>
      </c>
      <c r="L109" s="147"/>
    </row>
    <row r="110" spans="1:12" ht="34.5" hidden="1">
      <c r="A110" s="14" t="s">
        <v>216</v>
      </c>
      <c r="B110" s="15"/>
      <c r="C110" s="16" t="s">
        <v>111</v>
      </c>
      <c r="D110" s="210"/>
      <c r="E110" s="210"/>
      <c r="F110" s="29">
        <f>F111</f>
        <v>176000</v>
      </c>
      <c r="G110" s="133">
        <f>F110</f>
        <v>176000</v>
      </c>
      <c r="H110" s="28">
        <f>H111</f>
        <v>3000</v>
      </c>
      <c r="I110" s="28">
        <f>I111</f>
        <v>0</v>
      </c>
      <c r="J110" s="133">
        <f t="shared" si="8"/>
        <v>0</v>
      </c>
      <c r="K110" s="130">
        <f t="shared" si="10"/>
        <v>3000</v>
      </c>
      <c r="L110" s="147"/>
    </row>
    <row r="111" spans="1:12" hidden="1">
      <c r="A111" s="14" t="s">
        <v>112</v>
      </c>
      <c r="B111" s="15"/>
      <c r="C111" s="16" t="s">
        <v>113</v>
      </c>
      <c r="D111" s="210"/>
      <c r="E111" s="210"/>
      <c r="F111" s="28">
        <f>F113+F114</f>
        <v>176000</v>
      </c>
      <c r="G111" s="133">
        <f>F111</f>
        <v>176000</v>
      </c>
      <c r="H111" s="28">
        <f>H113+H114</f>
        <v>3000</v>
      </c>
      <c r="I111" s="28">
        <f>I113+I114</f>
        <v>0</v>
      </c>
      <c r="J111" s="133">
        <f t="shared" si="8"/>
        <v>0</v>
      </c>
      <c r="K111" s="130">
        <f t="shared" si="10"/>
        <v>3000</v>
      </c>
      <c r="L111" s="147"/>
    </row>
    <row r="112" spans="1:12" ht="33.75" customHeight="1">
      <c r="A112" s="14" t="s">
        <v>325</v>
      </c>
      <c r="B112" s="15"/>
      <c r="C112" s="16" t="s">
        <v>409</v>
      </c>
      <c r="D112" s="210"/>
      <c r="E112" s="210">
        <v>191673.83</v>
      </c>
      <c r="F112" s="28">
        <v>0</v>
      </c>
      <c r="G112" s="133">
        <v>173200</v>
      </c>
      <c r="H112" s="133">
        <v>138600</v>
      </c>
      <c r="I112" s="28">
        <v>112300</v>
      </c>
      <c r="J112" s="133">
        <f t="shared" si="8"/>
        <v>81.024531024531029</v>
      </c>
      <c r="K112" s="130">
        <f t="shared" si="10"/>
        <v>26300</v>
      </c>
      <c r="L112" s="147"/>
    </row>
    <row r="113" spans="1:12" ht="33.75" customHeight="1">
      <c r="A113" s="14" t="s">
        <v>325</v>
      </c>
      <c r="B113" s="15"/>
      <c r="C113" s="16" t="s">
        <v>286</v>
      </c>
      <c r="D113" s="210"/>
      <c r="E113" s="210"/>
      <c r="F113" s="28">
        <v>112000</v>
      </c>
      <c r="G113" s="133">
        <v>0</v>
      </c>
      <c r="H113" s="28">
        <v>0</v>
      </c>
      <c r="I113" s="28">
        <v>0</v>
      </c>
      <c r="J113" s="133">
        <v>0</v>
      </c>
      <c r="K113" s="130">
        <f t="shared" si="10"/>
        <v>0</v>
      </c>
      <c r="L113" s="147"/>
    </row>
    <row r="114" spans="1:12" ht="75" customHeight="1">
      <c r="A114" s="14" t="s">
        <v>326</v>
      </c>
      <c r="B114" s="15"/>
      <c r="C114" s="16" t="s">
        <v>287</v>
      </c>
      <c r="D114" s="210"/>
      <c r="E114" s="210"/>
      <c r="F114" s="28">
        <v>64000</v>
      </c>
      <c r="G114" s="133">
        <v>0</v>
      </c>
      <c r="H114" s="28">
        <v>3000</v>
      </c>
      <c r="I114" s="28">
        <v>0</v>
      </c>
      <c r="J114" s="133">
        <f t="shared" si="8"/>
        <v>0</v>
      </c>
      <c r="K114" s="130">
        <f t="shared" si="10"/>
        <v>3000</v>
      </c>
      <c r="L114" s="147"/>
    </row>
    <row r="115" spans="1:12" ht="34.5" hidden="1">
      <c r="A115" s="14" t="s">
        <v>114</v>
      </c>
      <c r="B115" s="15"/>
      <c r="C115" s="16" t="s">
        <v>115</v>
      </c>
      <c r="D115" s="210"/>
      <c r="E115" s="210"/>
      <c r="F115" s="29">
        <f>F116+F118</f>
        <v>83687</v>
      </c>
      <c r="G115" s="133">
        <f>F115</f>
        <v>83687</v>
      </c>
      <c r="H115" s="28">
        <f>H116+H118</f>
        <v>96043</v>
      </c>
      <c r="I115" s="28">
        <f>I116+I118</f>
        <v>55029</v>
      </c>
      <c r="J115" s="133">
        <f t="shared" si="8"/>
        <v>57.296211072123945</v>
      </c>
      <c r="K115" s="130">
        <f t="shared" si="10"/>
        <v>41014</v>
      </c>
      <c r="L115" s="147"/>
    </row>
    <row r="116" spans="1:12" ht="54.75" customHeight="1">
      <c r="A116" s="14" t="s">
        <v>116</v>
      </c>
      <c r="B116" s="15"/>
      <c r="C116" s="16" t="s">
        <v>117</v>
      </c>
      <c r="D116" s="210"/>
      <c r="E116" s="210">
        <v>82100</v>
      </c>
      <c r="F116" s="28">
        <f>F117</f>
        <v>78800</v>
      </c>
      <c r="G116" s="133">
        <f>89100+7800</f>
        <v>96900</v>
      </c>
      <c r="H116" s="133">
        <v>91050</v>
      </c>
      <c r="I116" s="28">
        <v>52533</v>
      </c>
      <c r="J116" s="133">
        <f t="shared" si="8"/>
        <v>57.696869851729822</v>
      </c>
      <c r="K116" s="130">
        <f t="shared" si="10"/>
        <v>38517</v>
      </c>
      <c r="L116" s="147"/>
    </row>
    <row r="117" spans="1:12" ht="27.75" hidden="1" customHeight="1">
      <c r="A117" s="14" t="s">
        <v>118</v>
      </c>
      <c r="B117" s="15"/>
      <c r="C117" s="16" t="s">
        <v>119</v>
      </c>
      <c r="D117" s="210"/>
      <c r="E117" s="210"/>
      <c r="F117" s="28">
        <f>87200-8400</f>
        <v>78800</v>
      </c>
      <c r="G117" s="133">
        <f>F117</f>
        <v>78800</v>
      </c>
      <c r="H117" s="28">
        <f>14581+7266+7267+7267+7266+5858+5859+5876</f>
        <v>61240</v>
      </c>
      <c r="I117" s="28">
        <f>14581+7266+7267+7267+7266+5858+5859+5876</f>
        <v>61240</v>
      </c>
      <c r="J117" s="133">
        <f t="shared" si="8"/>
        <v>100</v>
      </c>
      <c r="K117" s="130">
        <f t="shared" si="10"/>
        <v>0</v>
      </c>
      <c r="L117" s="147"/>
    </row>
    <row r="118" spans="1:12" ht="27.75" hidden="1" customHeight="1">
      <c r="A118" s="14" t="s">
        <v>120</v>
      </c>
      <c r="B118" s="15"/>
      <c r="C118" s="16" t="s">
        <v>121</v>
      </c>
      <c r="D118" s="210"/>
      <c r="E118" s="210"/>
      <c r="F118" s="28">
        <f>F119</f>
        <v>4887</v>
      </c>
      <c r="G118" s="133">
        <f>F118</f>
        <v>4887</v>
      </c>
      <c r="H118" s="28">
        <f>H119</f>
        <v>4993</v>
      </c>
      <c r="I118" s="28">
        <f>I119</f>
        <v>2496</v>
      </c>
      <c r="J118" s="133">
        <f t="shared" si="8"/>
        <v>49.989985980372523</v>
      </c>
      <c r="K118" s="130">
        <f t="shared" si="10"/>
        <v>2497</v>
      </c>
      <c r="L118" s="147"/>
    </row>
    <row r="119" spans="1:12" ht="85.5" customHeight="1">
      <c r="A119" s="14" t="s">
        <v>122</v>
      </c>
      <c r="B119" s="15"/>
      <c r="C119" s="16" t="s">
        <v>123</v>
      </c>
      <c r="D119" s="210"/>
      <c r="E119" s="210">
        <v>4749</v>
      </c>
      <c r="F119" s="28">
        <v>4887</v>
      </c>
      <c r="G119" s="133">
        <v>4993</v>
      </c>
      <c r="H119" s="133">
        <v>4993</v>
      </c>
      <c r="I119" s="28">
        <v>2496</v>
      </c>
      <c r="J119" s="133">
        <f t="shared" si="8"/>
        <v>49.989985980372523</v>
      </c>
      <c r="K119" s="130">
        <f t="shared" si="10"/>
        <v>2497</v>
      </c>
      <c r="L119" s="147"/>
    </row>
    <row r="120" spans="1:12" ht="19.5" customHeight="1">
      <c r="A120" s="14" t="s">
        <v>124</v>
      </c>
      <c r="B120" s="15" t="s">
        <v>2</v>
      </c>
      <c r="C120" s="16" t="s">
        <v>125</v>
      </c>
      <c r="D120" s="210"/>
      <c r="E120" s="210">
        <f>149438</f>
        <v>149438</v>
      </c>
      <c r="F120" s="51">
        <f>F121</f>
        <v>412000</v>
      </c>
      <c r="G120" s="133">
        <f>G121</f>
        <v>150000</v>
      </c>
      <c r="H120" s="133">
        <f>H121</f>
        <v>150000</v>
      </c>
      <c r="I120" s="133">
        <f>I121</f>
        <v>0</v>
      </c>
      <c r="J120" s="133">
        <f t="shared" si="8"/>
        <v>0</v>
      </c>
      <c r="K120" s="130">
        <f t="shared" si="10"/>
        <v>150000</v>
      </c>
      <c r="L120" s="147"/>
    </row>
    <row r="121" spans="1:12" ht="29.25" customHeight="1">
      <c r="A121" s="14" t="s">
        <v>126</v>
      </c>
      <c r="B121" s="15" t="s">
        <v>2</v>
      </c>
      <c r="C121" s="16" t="s">
        <v>127</v>
      </c>
      <c r="D121" s="210"/>
      <c r="E121" s="210"/>
      <c r="F121" s="28">
        <v>412000</v>
      </c>
      <c r="G121" s="133">
        <v>150000</v>
      </c>
      <c r="H121" s="133">
        <v>150000</v>
      </c>
      <c r="I121" s="133">
        <v>0</v>
      </c>
      <c r="J121" s="133">
        <f t="shared" si="8"/>
        <v>0</v>
      </c>
      <c r="K121" s="130">
        <f t="shared" si="10"/>
        <v>150000</v>
      </c>
      <c r="L121" s="147"/>
    </row>
    <row r="122" spans="1:12" ht="12" hidden="1" customHeight="1">
      <c r="A122" s="14" t="s">
        <v>298</v>
      </c>
      <c r="B122" s="15"/>
      <c r="C122" s="16" t="s">
        <v>299</v>
      </c>
      <c r="D122" s="210"/>
      <c r="E122" s="210"/>
      <c r="F122" s="28" t="e">
        <f>#REF!+F127+F123</f>
        <v>#REF!</v>
      </c>
      <c r="G122" s="133" t="e">
        <f>F122</f>
        <v>#REF!</v>
      </c>
      <c r="H122" s="28" t="e">
        <f>#REF!+H127+H123</f>
        <v>#REF!</v>
      </c>
      <c r="I122" s="28" t="e">
        <f>#REF!+I127+I123</f>
        <v>#REF!</v>
      </c>
      <c r="J122" s="133" t="e">
        <f t="shared" si="8"/>
        <v>#REF!</v>
      </c>
      <c r="K122" s="130" t="e">
        <f t="shared" si="10"/>
        <v>#REF!</v>
      </c>
      <c r="L122" s="147"/>
    </row>
    <row r="123" spans="1:12" s="25" customFormat="1" ht="60" customHeight="1">
      <c r="A123" s="70" t="s">
        <v>307</v>
      </c>
      <c r="B123" s="71"/>
      <c r="C123" s="72" t="s">
        <v>306</v>
      </c>
      <c r="D123" s="214"/>
      <c r="E123" s="214"/>
      <c r="F123" s="28">
        <v>36200</v>
      </c>
      <c r="G123" s="133">
        <v>0</v>
      </c>
      <c r="H123" s="28">
        <v>0</v>
      </c>
      <c r="I123" s="28">
        <v>0</v>
      </c>
      <c r="J123" s="133">
        <v>0</v>
      </c>
      <c r="K123" s="28">
        <v>0</v>
      </c>
      <c r="L123" s="161"/>
    </row>
    <row r="124" spans="1:12" s="292" customFormat="1" ht="97.5" customHeight="1">
      <c r="A124" s="246" t="s">
        <v>546</v>
      </c>
      <c r="B124" s="71"/>
      <c r="C124" s="72" t="s">
        <v>547</v>
      </c>
      <c r="D124" s="28">
        <v>34950</v>
      </c>
      <c r="E124" s="28">
        <v>0</v>
      </c>
      <c r="F124" s="28">
        <v>0</v>
      </c>
      <c r="G124" s="158">
        <v>0</v>
      </c>
      <c r="H124" s="28">
        <v>34950</v>
      </c>
      <c r="I124" s="243"/>
      <c r="J124" s="133">
        <f t="shared" si="8"/>
        <v>0</v>
      </c>
      <c r="K124" s="130">
        <f>H124-I124</f>
        <v>34950</v>
      </c>
    </row>
    <row r="125" spans="1:12" ht="118.5" customHeight="1">
      <c r="A125" s="246" t="s">
        <v>411</v>
      </c>
      <c r="B125" s="15" t="s">
        <v>2</v>
      </c>
      <c r="C125" s="16" t="s">
        <v>410</v>
      </c>
      <c r="D125" s="210"/>
      <c r="E125" s="210"/>
      <c r="F125" s="28">
        <v>0</v>
      </c>
      <c r="G125" s="133">
        <v>0</v>
      </c>
      <c r="H125" s="28">
        <v>13600</v>
      </c>
      <c r="I125" s="28">
        <v>0</v>
      </c>
      <c r="J125" s="133">
        <f t="shared" si="8"/>
        <v>0</v>
      </c>
      <c r="K125" s="130">
        <f>H125-I125</f>
        <v>13600</v>
      </c>
      <c r="L125" s="147"/>
    </row>
    <row r="126" spans="1:12" s="292" customFormat="1" ht="119.25" customHeight="1">
      <c r="A126" s="246" t="s">
        <v>548</v>
      </c>
      <c r="B126" s="71"/>
      <c r="C126" s="72" t="s">
        <v>549</v>
      </c>
      <c r="D126" s="28">
        <v>1000000</v>
      </c>
      <c r="E126" s="28">
        <v>0</v>
      </c>
      <c r="F126" s="28">
        <v>0</v>
      </c>
      <c r="G126" s="158">
        <v>0</v>
      </c>
      <c r="H126" s="243">
        <v>1000000</v>
      </c>
      <c r="I126" s="243">
        <v>0</v>
      </c>
      <c r="J126" s="133">
        <f t="shared" si="8"/>
        <v>0</v>
      </c>
      <c r="K126" s="130">
        <f>H126-I126</f>
        <v>1000000</v>
      </c>
    </row>
    <row r="127" spans="1:12" ht="99.75" customHeight="1">
      <c r="A127" s="47" t="s">
        <v>128</v>
      </c>
      <c r="B127" s="15" t="s">
        <v>2</v>
      </c>
      <c r="C127" s="16" t="s">
        <v>129</v>
      </c>
      <c r="D127" s="210"/>
      <c r="E127" s="210">
        <v>3975</v>
      </c>
      <c r="F127" s="28">
        <v>3980</v>
      </c>
      <c r="G127" s="133">
        <v>0</v>
      </c>
      <c r="H127" s="28">
        <v>3630</v>
      </c>
      <c r="I127" s="28">
        <v>0</v>
      </c>
      <c r="J127" s="133">
        <f t="shared" si="8"/>
        <v>0</v>
      </c>
      <c r="K127" s="130">
        <f t="shared" si="10"/>
        <v>3630</v>
      </c>
      <c r="L127" s="147"/>
    </row>
    <row r="128" spans="1:12" hidden="1">
      <c r="A128" s="75"/>
      <c r="B128" s="76"/>
      <c r="C128" s="76"/>
      <c r="D128" s="210"/>
      <c r="E128" s="210"/>
      <c r="F128" s="40"/>
      <c r="G128" s="40"/>
      <c r="H128" s="40"/>
      <c r="I128" s="40"/>
      <c r="J128" s="254"/>
      <c r="K128" s="79"/>
    </row>
    <row r="129" spans="1:11">
      <c r="D129" s="24"/>
      <c r="E129" s="24"/>
    </row>
    <row r="130" spans="1:11" ht="18.75">
      <c r="A130" s="255" t="s">
        <v>503</v>
      </c>
      <c r="B130" s="255"/>
      <c r="C130" s="256" t="s">
        <v>504</v>
      </c>
      <c r="K130" s="30"/>
    </row>
    <row r="131" spans="1:11">
      <c r="K131" s="30"/>
    </row>
    <row r="132" spans="1:11" ht="18.75">
      <c r="A132" s="298"/>
      <c r="C132" s="256"/>
      <c r="K132" s="30"/>
    </row>
    <row r="133" spans="1:11">
      <c r="K133" s="30"/>
    </row>
  </sheetData>
  <autoFilter ref="A15:K15">
    <filterColumn colId="8"/>
    <filterColumn colId="9"/>
  </autoFilter>
  <mergeCells count="18">
    <mergeCell ref="L6:L9"/>
    <mergeCell ref="A4:H4"/>
    <mergeCell ref="A6:A12"/>
    <mergeCell ref="B6:B12"/>
    <mergeCell ref="C6:C12"/>
    <mergeCell ref="F6:F12"/>
    <mergeCell ref="H6:H12"/>
    <mergeCell ref="K6:K12"/>
    <mergeCell ref="D6:D12"/>
    <mergeCell ref="E6:E12"/>
    <mergeCell ref="G6:G9"/>
    <mergeCell ref="I6:I12"/>
    <mergeCell ref="J6:J9"/>
    <mergeCell ref="A1:F1"/>
    <mergeCell ref="H1:K1"/>
    <mergeCell ref="A2:F2"/>
    <mergeCell ref="A5:F5"/>
    <mergeCell ref="A3:H3"/>
  </mergeCells>
  <conditionalFormatting sqref="K130:K133 K15:K122 K124:K127">
    <cfRule type="cellIs" dxfId="5" priority="4" stopIfTrue="1" operator="equal">
      <formula>0</formula>
    </cfRule>
  </conditionalFormatting>
  <pageMargins left="0.55118110236220474" right="0.27559055118110237" top="0.69" bottom="0.44" header="0.31496062992125984" footer="0.18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00"/>
  <sheetViews>
    <sheetView topLeftCell="A393" zoomScale="115" zoomScaleNormal="115" workbookViewId="0">
      <selection activeCell="C400" sqref="C400"/>
    </sheetView>
  </sheetViews>
  <sheetFormatPr defaultRowHeight="15"/>
  <cols>
    <col min="1" max="1" width="43.28515625" customWidth="1"/>
    <col min="2" max="2" width="3.85546875" customWidth="1"/>
    <col min="3" max="3" width="21.85546875" customWidth="1"/>
    <col min="4" max="4" width="16.85546875" customWidth="1"/>
    <col min="5" max="5" width="18.140625" hidden="1" customWidth="1"/>
    <col min="6" max="6" width="16.85546875" customWidth="1"/>
    <col min="7" max="7" width="17" customWidth="1"/>
    <col min="8" max="8" width="16.7109375" customWidth="1"/>
    <col min="9" max="9" width="20.28515625" hidden="1" customWidth="1"/>
    <col min="10" max="10" width="15.140625" customWidth="1"/>
  </cols>
  <sheetData>
    <row r="1" spans="1:11" ht="8.25" customHeight="1"/>
    <row r="2" spans="1:11" s="36" customFormat="1">
      <c r="A2" s="311" t="s">
        <v>385</v>
      </c>
      <c r="B2" s="311"/>
      <c r="C2" s="311"/>
      <c r="D2" s="311"/>
      <c r="E2" s="195"/>
      <c r="F2" s="195"/>
      <c r="G2" s="78"/>
      <c r="H2" s="249">
        <f>4099368.55+24373.6</f>
        <v>4123742.15</v>
      </c>
      <c r="I2" s="248"/>
      <c r="J2" s="247">
        <f>F15-H2</f>
        <v>1623221.2100000004</v>
      </c>
      <c r="K2" s="248"/>
    </row>
    <row r="3" spans="1:11" ht="6.75" customHeight="1">
      <c r="A3" s="9"/>
      <c r="B3" s="9"/>
      <c r="C3" s="10"/>
      <c r="D3" s="11"/>
      <c r="E3" s="11"/>
      <c r="F3" s="11"/>
      <c r="G3" s="11"/>
      <c r="H3" s="11"/>
    </row>
    <row r="4" spans="1:11" ht="15" customHeight="1">
      <c r="A4" s="312" t="s">
        <v>5</v>
      </c>
      <c r="B4" s="306" t="s">
        <v>6</v>
      </c>
      <c r="C4" s="306" t="s">
        <v>130</v>
      </c>
      <c r="D4" s="304" t="s">
        <v>8</v>
      </c>
      <c r="E4" s="313" t="s">
        <v>395</v>
      </c>
      <c r="F4" s="313" t="s">
        <v>557</v>
      </c>
      <c r="G4" s="321" t="s">
        <v>9</v>
      </c>
      <c r="H4" s="304" t="s">
        <v>10</v>
      </c>
      <c r="I4" s="147"/>
      <c r="J4" s="313" t="s">
        <v>390</v>
      </c>
    </row>
    <row r="5" spans="1:11" ht="8.25" customHeight="1">
      <c r="A5" s="312"/>
      <c r="B5" s="306"/>
      <c r="C5" s="306"/>
      <c r="D5" s="304"/>
      <c r="E5" s="314"/>
      <c r="F5" s="314"/>
      <c r="G5" s="321"/>
      <c r="H5" s="304"/>
      <c r="I5" s="147"/>
      <c r="J5" s="314"/>
    </row>
    <row r="6" spans="1:11">
      <c r="A6" s="312"/>
      <c r="B6" s="306"/>
      <c r="C6" s="306"/>
      <c r="D6" s="304"/>
      <c r="E6" s="314"/>
      <c r="F6" s="314"/>
      <c r="G6" s="321"/>
      <c r="H6" s="304"/>
      <c r="I6" s="147"/>
      <c r="J6" s="314"/>
    </row>
    <row r="7" spans="1:11" ht="2.25" customHeight="1">
      <c r="A7" s="312"/>
      <c r="B7" s="306"/>
      <c r="C7" s="306"/>
      <c r="D7" s="304"/>
      <c r="E7" s="314"/>
      <c r="F7" s="314"/>
      <c r="G7" s="321"/>
      <c r="H7" s="304"/>
      <c r="I7" s="147"/>
      <c r="J7" s="314"/>
    </row>
    <row r="8" spans="1:11" ht="6" customHeight="1">
      <c r="A8" s="312"/>
      <c r="B8" s="306"/>
      <c r="C8" s="306"/>
      <c r="D8" s="304"/>
      <c r="E8" s="314"/>
      <c r="F8" s="314"/>
      <c r="G8" s="321"/>
      <c r="H8" s="304"/>
      <c r="I8" s="147"/>
      <c r="J8" s="314"/>
    </row>
    <row r="9" spans="1:11" ht="15" hidden="1" customHeight="1">
      <c r="A9" s="312"/>
      <c r="B9" s="306"/>
      <c r="C9" s="306"/>
      <c r="D9" s="304"/>
      <c r="E9" s="314"/>
      <c r="F9" s="314"/>
      <c r="G9" s="321"/>
      <c r="H9" s="304"/>
      <c r="I9" s="147"/>
      <c r="J9" s="314"/>
    </row>
    <row r="10" spans="1:11" ht="15" hidden="1" customHeight="1">
      <c r="A10" s="312"/>
      <c r="B10" s="306"/>
      <c r="C10" s="306"/>
      <c r="D10" s="304"/>
      <c r="E10" s="314"/>
      <c r="F10" s="314"/>
      <c r="G10" s="321"/>
      <c r="H10" s="304"/>
      <c r="I10" s="147"/>
      <c r="J10" s="314"/>
    </row>
    <row r="11" spans="1:11" ht="22.5" customHeight="1">
      <c r="A11" s="312"/>
      <c r="B11" s="306"/>
      <c r="C11" s="306"/>
      <c r="D11" s="304"/>
      <c r="E11" s="315"/>
      <c r="F11" s="315"/>
      <c r="G11" s="321"/>
      <c r="H11" s="304"/>
      <c r="I11" s="147"/>
      <c r="J11" s="315"/>
    </row>
    <row r="12" spans="1:11" ht="9.75" customHeight="1">
      <c r="A12" s="39">
        <v>1</v>
      </c>
      <c r="B12" s="39">
        <v>2</v>
      </c>
      <c r="C12" s="39">
        <v>3</v>
      </c>
      <c r="D12" s="41" t="s">
        <v>11</v>
      </c>
      <c r="E12" s="196"/>
      <c r="F12" s="196"/>
      <c r="G12" s="41" t="s">
        <v>12</v>
      </c>
      <c r="H12" s="41" t="s">
        <v>13</v>
      </c>
      <c r="I12" s="147"/>
      <c r="J12" s="41">
        <v>7</v>
      </c>
    </row>
    <row r="13" spans="1:11" ht="34.5" customHeight="1">
      <c r="A13" s="316" t="s">
        <v>404</v>
      </c>
      <c r="B13" s="317"/>
      <c r="C13" s="317"/>
      <c r="D13" s="317"/>
      <c r="E13" s="318"/>
      <c r="F13" s="216">
        <f>F15-F14</f>
        <v>225190.36000000034</v>
      </c>
      <c r="G13" s="196"/>
      <c r="H13" s="196"/>
      <c r="I13" s="147"/>
      <c r="J13" s="196"/>
    </row>
    <row r="14" spans="1:11" ht="33" customHeight="1">
      <c r="A14" s="316" t="s">
        <v>412</v>
      </c>
      <c r="B14" s="317"/>
      <c r="C14" s="317"/>
      <c r="D14" s="317"/>
      <c r="E14" s="318"/>
      <c r="F14" s="216">
        <v>5521773</v>
      </c>
      <c r="G14" s="196"/>
      <c r="H14" s="196"/>
      <c r="I14" s="147"/>
      <c r="J14" s="196"/>
    </row>
    <row r="15" spans="1:11" ht="22.5" customHeight="1">
      <c r="A15" s="145" t="s">
        <v>131</v>
      </c>
      <c r="B15" s="145"/>
      <c r="C15" s="145"/>
      <c r="D15" s="216">
        <f>D17+D78</f>
        <v>4507043</v>
      </c>
      <c r="E15" s="216">
        <f>E17+E78</f>
        <v>391015.62</v>
      </c>
      <c r="F15" s="216">
        <f>F17+F78</f>
        <v>5746963.3600000003</v>
      </c>
      <c r="G15" s="216">
        <f>G17+G78</f>
        <v>1807265.3900000001</v>
      </c>
      <c r="H15" s="216">
        <f>F15-G15</f>
        <v>3939697.97</v>
      </c>
      <c r="I15" s="156"/>
    </row>
    <row r="16" spans="1:11">
      <c r="A16" s="146" t="s">
        <v>16</v>
      </c>
      <c r="B16" s="147"/>
      <c r="C16" s="148"/>
      <c r="D16" s="217"/>
      <c r="E16" s="217"/>
      <c r="F16" s="217"/>
      <c r="G16" s="218"/>
      <c r="H16" s="218"/>
      <c r="I16" s="156"/>
    </row>
    <row r="17" spans="1:9" ht="18">
      <c r="A17" s="145" t="s">
        <v>386</v>
      </c>
      <c r="B17" s="150"/>
      <c r="C17" s="151"/>
      <c r="D17" s="219">
        <f>D18+D23+D28+D35+D53+D56+D62+D65+D70</f>
        <v>2845844</v>
      </c>
      <c r="E17" s="219">
        <f>E18+E23+E28+E35+E53+E56+E62+E65+E70</f>
        <v>371464.63</v>
      </c>
      <c r="F17" s="219">
        <f>F18+F23+F28+F35+F53+F56+F62+F65+F70+F52</f>
        <v>2842994</v>
      </c>
      <c r="G17" s="219">
        <f>G18+G23+G28+G35+G53+G56+G62+G65+G70</f>
        <v>1310576.77</v>
      </c>
      <c r="H17" s="219">
        <f>H18+H23+H28+H35+H53+H56+H62+H65+H70</f>
        <v>1522417.23</v>
      </c>
      <c r="I17" s="156"/>
    </row>
    <row r="18" spans="1:9" ht="35.25" customHeight="1">
      <c r="A18" s="77" t="s">
        <v>132</v>
      </c>
      <c r="B18" s="152" t="s">
        <v>2</v>
      </c>
      <c r="C18" s="153" t="s">
        <v>414</v>
      </c>
      <c r="D18" s="17">
        <f>D19</f>
        <v>584213</v>
      </c>
      <c r="E18" s="17">
        <f t="shared" ref="E18:F18" si="0">E19</f>
        <v>0</v>
      </c>
      <c r="F18" s="17">
        <f t="shared" si="0"/>
        <v>584213</v>
      </c>
      <c r="G18" s="17">
        <f>G19</f>
        <v>292105.28000000003</v>
      </c>
      <c r="H18" s="17">
        <f>F18-G18</f>
        <v>292107.71999999997</v>
      </c>
      <c r="I18" s="147"/>
    </row>
    <row r="19" spans="1:9" s="37" customFormat="1" hidden="1">
      <c r="A19" s="14" t="s">
        <v>133</v>
      </c>
      <c r="B19" s="15" t="s">
        <v>2</v>
      </c>
      <c r="C19" s="16" t="s">
        <v>134</v>
      </c>
      <c r="D19" s="12">
        <f>D20</f>
        <v>584213</v>
      </c>
      <c r="E19" s="12"/>
      <c r="F19" s="17">
        <f t="shared" ref="F19:F75" si="1">E19+D19</f>
        <v>584213</v>
      </c>
      <c r="G19" s="12">
        <f>G20</f>
        <v>292105.28000000003</v>
      </c>
      <c r="H19" s="17">
        <f t="shared" ref="H19:H76" si="2">F19-G19</f>
        <v>292107.71999999997</v>
      </c>
      <c r="I19" s="170"/>
    </row>
    <row r="20" spans="1:9" s="37" customFormat="1" ht="23.25" hidden="1">
      <c r="A20" s="14" t="s">
        <v>135</v>
      </c>
      <c r="B20" s="15" t="s">
        <v>2</v>
      </c>
      <c r="C20" s="16" t="s">
        <v>136</v>
      </c>
      <c r="D20" s="12">
        <f>D21+D22</f>
        <v>584213</v>
      </c>
      <c r="E20" s="12"/>
      <c r="F20" s="17">
        <f t="shared" si="1"/>
        <v>584213</v>
      </c>
      <c r="G20" s="12">
        <f>G21+G22</f>
        <v>292105.28000000003</v>
      </c>
      <c r="H20" s="17">
        <f t="shared" si="2"/>
        <v>292107.71999999997</v>
      </c>
      <c r="I20" s="170"/>
    </row>
    <row r="21" spans="1:9" s="37" customFormat="1" ht="16.5" customHeight="1">
      <c r="A21" s="14" t="s">
        <v>137</v>
      </c>
      <c r="B21" s="15" t="s">
        <v>2</v>
      </c>
      <c r="C21" s="16" t="s">
        <v>415</v>
      </c>
      <c r="D21" s="12">
        <v>448704</v>
      </c>
      <c r="E21" s="12">
        <v>448704</v>
      </c>
      <c r="F21" s="12">
        <v>448704</v>
      </c>
      <c r="G21" s="12">
        <v>224351</v>
      </c>
      <c r="H21" s="8">
        <f t="shared" si="2"/>
        <v>224353</v>
      </c>
      <c r="I21" s="163"/>
    </row>
    <row r="22" spans="1:9" s="37" customFormat="1" ht="14.25" customHeight="1">
      <c r="A22" s="14" t="s">
        <v>138</v>
      </c>
      <c r="B22" s="15" t="s">
        <v>2</v>
      </c>
      <c r="C22" s="16" t="s">
        <v>416</v>
      </c>
      <c r="D22" s="12">
        <v>135509</v>
      </c>
      <c r="E22" s="12">
        <v>135509</v>
      </c>
      <c r="F22" s="12">
        <v>135509</v>
      </c>
      <c r="G22" s="12">
        <v>67754.28</v>
      </c>
      <c r="H22" s="8">
        <f t="shared" si="2"/>
        <v>67754.720000000001</v>
      </c>
      <c r="I22" s="163"/>
    </row>
    <row r="23" spans="1:9" ht="45.75">
      <c r="A23" s="77" t="s">
        <v>139</v>
      </c>
      <c r="B23" s="152" t="s">
        <v>2</v>
      </c>
      <c r="C23" s="153" t="s">
        <v>417</v>
      </c>
      <c r="D23" s="17">
        <f>D24</f>
        <v>1678709</v>
      </c>
      <c r="E23" s="17">
        <f t="shared" ref="E23" si="3">E24</f>
        <v>0</v>
      </c>
      <c r="F23" s="17">
        <f>F26+F27</f>
        <v>1681709</v>
      </c>
      <c r="G23" s="17">
        <f>G24</f>
        <v>805626.7</v>
      </c>
      <c r="H23" s="17">
        <f t="shared" si="2"/>
        <v>876082.3</v>
      </c>
      <c r="I23" s="147"/>
    </row>
    <row r="24" spans="1:9" s="37" customFormat="1" hidden="1">
      <c r="A24" s="14" t="s">
        <v>133</v>
      </c>
      <c r="B24" s="15" t="s">
        <v>2</v>
      </c>
      <c r="C24" s="16" t="s">
        <v>140</v>
      </c>
      <c r="D24" s="12">
        <f>D25</f>
        <v>1678709</v>
      </c>
      <c r="E24" s="12"/>
      <c r="F24" s="17">
        <f t="shared" si="1"/>
        <v>1678709</v>
      </c>
      <c r="G24" s="12">
        <f>G25</f>
        <v>805626.7</v>
      </c>
      <c r="H24" s="17">
        <f t="shared" si="2"/>
        <v>873082.3</v>
      </c>
      <c r="I24" s="163"/>
    </row>
    <row r="25" spans="1:9" s="37" customFormat="1" ht="23.25" hidden="1">
      <c r="A25" s="14" t="s">
        <v>135</v>
      </c>
      <c r="B25" s="15" t="s">
        <v>2</v>
      </c>
      <c r="C25" s="16" t="s">
        <v>141</v>
      </c>
      <c r="D25" s="12">
        <f>D26+D27</f>
        <v>1678709</v>
      </c>
      <c r="E25" s="12"/>
      <c r="F25" s="17">
        <f t="shared" si="1"/>
        <v>1678709</v>
      </c>
      <c r="G25" s="12">
        <f>G26+G27</f>
        <v>805626.7</v>
      </c>
      <c r="H25" s="17">
        <f t="shared" si="2"/>
        <v>873082.3</v>
      </c>
      <c r="I25" s="163"/>
    </row>
    <row r="26" spans="1:9" s="37" customFormat="1">
      <c r="A26" s="14" t="s">
        <v>137</v>
      </c>
      <c r="B26" s="15" t="s">
        <v>2</v>
      </c>
      <c r="C26" s="16" t="s">
        <v>418</v>
      </c>
      <c r="D26" s="12">
        <v>1289331</v>
      </c>
      <c r="E26" s="12">
        <v>1289331</v>
      </c>
      <c r="F26" s="12">
        <v>1291635.1499999999</v>
      </c>
      <c r="G26" s="12">
        <v>618997.14</v>
      </c>
      <c r="H26" s="8">
        <f t="shared" si="2"/>
        <v>672638.00999999989</v>
      </c>
      <c r="I26" s="163"/>
    </row>
    <row r="27" spans="1:9" s="37" customFormat="1">
      <c r="A27" s="14" t="s">
        <v>138</v>
      </c>
      <c r="B27" s="15" t="s">
        <v>2</v>
      </c>
      <c r="C27" s="16" t="s">
        <v>419</v>
      </c>
      <c r="D27" s="12">
        <v>389378</v>
      </c>
      <c r="E27" s="12">
        <v>389378</v>
      </c>
      <c r="F27" s="12">
        <v>390073.85</v>
      </c>
      <c r="G27" s="12">
        <v>186629.56</v>
      </c>
      <c r="H27" s="8">
        <f t="shared" si="2"/>
        <v>203444.28999999998</v>
      </c>
      <c r="I27" s="163"/>
    </row>
    <row r="28" spans="1:9" ht="45.75">
      <c r="A28" s="77" t="s">
        <v>139</v>
      </c>
      <c r="B28" s="152" t="s">
        <v>2</v>
      </c>
      <c r="C28" s="153" t="s">
        <v>142</v>
      </c>
      <c r="D28" s="17">
        <f>D29</f>
        <v>7918</v>
      </c>
      <c r="E28" s="17">
        <f t="shared" ref="E28:F28" si="4">E29</f>
        <v>7918</v>
      </c>
      <c r="F28" s="17">
        <f t="shared" si="4"/>
        <v>7918</v>
      </c>
      <c r="G28" s="17">
        <f>G29</f>
        <v>2961.4</v>
      </c>
      <c r="H28" s="17">
        <f t="shared" si="2"/>
        <v>4956.6000000000004</v>
      </c>
      <c r="I28" s="147"/>
    </row>
    <row r="29" spans="1:9" s="37" customFormat="1">
      <c r="A29" s="14" t="s">
        <v>327</v>
      </c>
      <c r="B29" s="15" t="s">
        <v>2</v>
      </c>
      <c r="C29" s="16" t="s">
        <v>143</v>
      </c>
      <c r="D29" s="12">
        <v>7918</v>
      </c>
      <c r="E29" s="12">
        <v>7918</v>
      </c>
      <c r="F29" s="12">
        <v>7918</v>
      </c>
      <c r="G29" s="12">
        <v>2961.4</v>
      </c>
      <c r="H29" s="8">
        <f t="shared" si="2"/>
        <v>4956.6000000000004</v>
      </c>
      <c r="I29" s="163"/>
    </row>
    <row r="30" spans="1:9" s="37" customFormat="1" ht="23.25" hidden="1">
      <c r="A30" s="14" t="s">
        <v>135</v>
      </c>
      <c r="B30" s="15" t="s">
        <v>2</v>
      </c>
      <c r="C30" s="16" t="s">
        <v>144</v>
      </c>
      <c r="D30" s="12">
        <f>D31</f>
        <v>2500</v>
      </c>
      <c r="E30" s="12"/>
      <c r="F30" s="17">
        <f t="shared" si="1"/>
        <v>2500</v>
      </c>
      <c r="G30" s="12">
        <f>G31</f>
        <v>0</v>
      </c>
      <c r="H30" s="17">
        <f t="shared" si="2"/>
        <v>2500</v>
      </c>
      <c r="I30" s="163"/>
    </row>
    <row r="31" spans="1:9" s="37" customFormat="1" hidden="1">
      <c r="A31" s="14" t="s">
        <v>145</v>
      </c>
      <c r="B31" s="15" t="s">
        <v>2</v>
      </c>
      <c r="C31" s="16" t="s">
        <v>146</v>
      </c>
      <c r="D31" s="12">
        <v>2500</v>
      </c>
      <c r="E31" s="12"/>
      <c r="F31" s="17">
        <f t="shared" si="1"/>
        <v>2500</v>
      </c>
      <c r="G31" s="12">
        <v>0</v>
      </c>
      <c r="H31" s="17">
        <f t="shared" si="2"/>
        <v>2500</v>
      </c>
      <c r="I31" s="163"/>
    </row>
    <row r="32" spans="1:9" s="37" customFormat="1" hidden="1">
      <c r="A32" s="14" t="s">
        <v>147</v>
      </c>
      <c r="B32" s="15" t="s">
        <v>2</v>
      </c>
      <c r="C32" s="16" t="s">
        <v>148</v>
      </c>
      <c r="D32" s="12">
        <f>D33+D34</f>
        <v>10000</v>
      </c>
      <c r="E32" s="12"/>
      <c r="F32" s="17">
        <f t="shared" si="1"/>
        <v>10000</v>
      </c>
      <c r="G32" s="12">
        <f>G33+G34</f>
        <v>0</v>
      </c>
      <c r="H32" s="17">
        <f t="shared" si="2"/>
        <v>10000</v>
      </c>
      <c r="I32" s="163"/>
    </row>
    <row r="33" spans="1:9" s="37" customFormat="1" hidden="1">
      <c r="A33" s="14" t="s">
        <v>149</v>
      </c>
      <c r="B33" s="15" t="s">
        <v>2</v>
      </c>
      <c r="C33" s="16" t="s">
        <v>150</v>
      </c>
      <c r="D33" s="12">
        <v>4800</v>
      </c>
      <c r="E33" s="12"/>
      <c r="F33" s="17">
        <f t="shared" si="1"/>
        <v>4800</v>
      </c>
      <c r="G33" s="12">
        <v>0</v>
      </c>
      <c r="H33" s="17">
        <f t="shared" si="2"/>
        <v>4800</v>
      </c>
      <c r="I33" s="163"/>
    </row>
    <row r="34" spans="1:9" s="37" customFormat="1" hidden="1">
      <c r="A34" s="14" t="s">
        <v>151</v>
      </c>
      <c r="B34" s="15" t="s">
        <v>2</v>
      </c>
      <c r="C34" s="16" t="s">
        <v>152</v>
      </c>
      <c r="D34" s="12">
        <v>5200</v>
      </c>
      <c r="E34" s="12"/>
      <c r="F34" s="17">
        <f t="shared" si="1"/>
        <v>5200</v>
      </c>
      <c r="G34" s="12">
        <v>0</v>
      </c>
      <c r="H34" s="17">
        <f t="shared" si="2"/>
        <v>5200</v>
      </c>
      <c r="I34" s="163"/>
    </row>
    <row r="35" spans="1:9" ht="45.75">
      <c r="A35" s="77" t="s">
        <v>139</v>
      </c>
      <c r="B35" s="152" t="s">
        <v>2</v>
      </c>
      <c r="C35" s="171" t="s">
        <v>420</v>
      </c>
      <c r="D35" s="17">
        <f>D36+D42</f>
        <v>422111</v>
      </c>
      <c r="E35" s="17">
        <f>E36+E42</f>
        <v>232300</v>
      </c>
      <c r="F35" s="17">
        <f>F36+F42</f>
        <v>412111</v>
      </c>
      <c r="G35" s="17">
        <f>G36+G42</f>
        <v>167968.58</v>
      </c>
      <c r="H35" s="17">
        <f t="shared" si="2"/>
        <v>244142.42</v>
      </c>
      <c r="I35" s="147"/>
    </row>
    <row r="36" spans="1:9" s="37" customFormat="1">
      <c r="A36" s="14" t="s">
        <v>328</v>
      </c>
      <c r="B36" s="15" t="s">
        <v>2</v>
      </c>
      <c r="C36" s="16" t="s">
        <v>421</v>
      </c>
      <c r="D36" s="12">
        <f>D37+D41</f>
        <v>189811</v>
      </c>
      <c r="E36" s="12">
        <f>E37+E52</f>
        <v>0</v>
      </c>
      <c r="F36" s="12">
        <f>F38+F39+F40</f>
        <v>177939.52000000002</v>
      </c>
      <c r="G36" s="12">
        <f>G37+G52</f>
        <v>72313.579999999987</v>
      </c>
      <c r="H36" s="8">
        <f t="shared" si="2"/>
        <v>105625.94000000003</v>
      </c>
      <c r="I36" s="163"/>
    </row>
    <row r="37" spans="1:9" s="37" customFormat="1" hidden="1">
      <c r="A37" s="14" t="s">
        <v>147</v>
      </c>
      <c r="B37" s="15" t="s">
        <v>2</v>
      </c>
      <c r="C37" s="16" t="s">
        <v>153</v>
      </c>
      <c r="D37" s="12">
        <f>D38+D39+D40</f>
        <v>179811</v>
      </c>
      <c r="E37" s="12"/>
      <c r="F37" s="17">
        <f t="shared" si="1"/>
        <v>179811</v>
      </c>
      <c r="G37" s="12">
        <f>G38+G39+G40</f>
        <v>62313.579999999994</v>
      </c>
      <c r="H37" s="8">
        <f t="shared" si="2"/>
        <v>117497.42000000001</v>
      </c>
      <c r="I37" s="163"/>
    </row>
    <row r="38" spans="1:9" s="37" customFormat="1">
      <c r="A38" s="14" t="s">
        <v>154</v>
      </c>
      <c r="B38" s="15" t="s">
        <v>2</v>
      </c>
      <c r="C38" s="16" t="s">
        <v>422</v>
      </c>
      <c r="D38" s="12">
        <v>20400</v>
      </c>
      <c r="E38" s="12"/>
      <c r="F38" s="8">
        <f>E38+D38-1871.48</f>
        <v>18528.52</v>
      </c>
      <c r="G38" s="12">
        <v>5187.74</v>
      </c>
      <c r="H38" s="8">
        <f t="shared" si="2"/>
        <v>13340.78</v>
      </c>
      <c r="I38" s="163"/>
    </row>
    <row r="39" spans="1:9" s="37" customFormat="1">
      <c r="A39" s="14" t="s">
        <v>155</v>
      </c>
      <c r="B39" s="15" t="s">
        <v>2</v>
      </c>
      <c r="C39" s="16" t="s">
        <v>423</v>
      </c>
      <c r="D39" s="12">
        <v>28100</v>
      </c>
      <c r="E39" s="12">
        <v>28100</v>
      </c>
      <c r="F39" s="12">
        <v>28100</v>
      </c>
      <c r="G39" s="12">
        <v>2773</v>
      </c>
      <c r="H39" s="8">
        <f t="shared" si="2"/>
        <v>25327</v>
      </c>
      <c r="I39" s="163"/>
    </row>
    <row r="40" spans="1:9" s="37" customFormat="1">
      <c r="A40" s="14" t="s">
        <v>151</v>
      </c>
      <c r="B40" s="15" t="s">
        <v>2</v>
      </c>
      <c r="C40" s="16" t="s">
        <v>424</v>
      </c>
      <c r="D40" s="12">
        <v>131311</v>
      </c>
      <c r="E40" s="12">
        <v>131311</v>
      </c>
      <c r="F40" s="12">
        <v>131311</v>
      </c>
      <c r="G40" s="12">
        <v>54352.84</v>
      </c>
      <c r="H40" s="8">
        <f t="shared" si="2"/>
        <v>76958.16</v>
      </c>
      <c r="I40" s="163"/>
    </row>
    <row r="41" spans="1:9" s="37" customFormat="1">
      <c r="A41" s="14" t="s">
        <v>156</v>
      </c>
      <c r="B41" s="15" t="s">
        <v>2</v>
      </c>
      <c r="C41" s="43" t="s">
        <v>425</v>
      </c>
      <c r="D41" s="12">
        <v>10000</v>
      </c>
      <c r="E41" s="12"/>
      <c r="F41" s="8">
        <v>0</v>
      </c>
      <c r="G41" s="12">
        <v>0</v>
      </c>
      <c r="H41" s="8">
        <f>F41-G41</f>
        <v>0</v>
      </c>
      <c r="I41" s="163"/>
    </row>
    <row r="42" spans="1:9" s="37" customFormat="1">
      <c r="A42" s="14" t="s">
        <v>157</v>
      </c>
      <c r="B42" s="15" t="s">
        <v>2</v>
      </c>
      <c r="C42" s="16" t="s">
        <v>426</v>
      </c>
      <c r="D42" s="12">
        <f>D44</f>
        <v>232300</v>
      </c>
      <c r="E42" s="12">
        <f t="shared" ref="E42" si="5">E44</f>
        <v>232300</v>
      </c>
      <c r="F42" s="12">
        <f>F43+F44</f>
        <v>234171.48</v>
      </c>
      <c r="G42" s="12">
        <f>G44</f>
        <v>95655</v>
      </c>
      <c r="H42" s="8">
        <f>F42-G42</f>
        <v>138516.48000000001</v>
      </c>
      <c r="I42" s="163"/>
    </row>
    <row r="43" spans="1:9" s="85" customFormat="1">
      <c r="A43" s="70" t="s">
        <v>174</v>
      </c>
      <c r="B43" s="71" t="s">
        <v>2</v>
      </c>
      <c r="C43" s="72" t="s">
        <v>509</v>
      </c>
      <c r="D43" s="28"/>
      <c r="E43" s="28">
        <v>232300</v>
      </c>
      <c r="F43" s="28">
        <v>1871.48</v>
      </c>
      <c r="G43" s="28">
        <v>0</v>
      </c>
      <c r="H43" s="44">
        <f t="shared" ref="H43" si="6">F43-G43</f>
        <v>1871.48</v>
      </c>
      <c r="I43" s="168"/>
    </row>
    <row r="44" spans="1:9" s="37" customFormat="1">
      <c r="A44" s="14" t="s">
        <v>158</v>
      </c>
      <c r="B44" s="15" t="s">
        <v>2</v>
      </c>
      <c r="C44" s="16" t="s">
        <v>427</v>
      </c>
      <c r="D44" s="12">
        <v>232300</v>
      </c>
      <c r="E44" s="12">
        <v>232300</v>
      </c>
      <c r="F44" s="12">
        <v>232300</v>
      </c>
      <c r="G44" s="12">
        <v>95655</v>
      </c>
      <c r="H44" s="8">
        <f t="shared" si="2"/>
        <v>136645</v>
      </c>
      <c r="I44" s="163"/>
    </row>
    <row r="45" spans="1:9" s="36" customFormat="1" hidden="1">
      <c r="A45" s="14" t="s">
        <v>133</v>
      </c>
      <c r="B45" s="15"/>
      <c r="C45" s="20" t="s">
        <v>301</v>
      </c>
      <c r="D45" s="8">
        <f t="shared" ref="D45:G45" si="7">D46</f>
        <v>80000</v>
      </c>
      <c r="E45" s="8"/>
      <c r="F45" s="17">
        <f t="shared" si="1"/>
        <v>80000</v>
      </c>
      <c r="G45" s="12">
        <f t="shared" si="7"/>
        <v>80000</v>
      </c>
      <c r="H45" s="17">
        <f t="shared" si="2"/>
        <v>0</v>
      </c>
      <c r="I45" s="158"/>
    </row>
    <row r="46" spans="1:9" s="36" customFormat="1" hidden="1">
      <c r="A46" s="14" t="s">
        <v>147</v>
      </c>
      <c r="B46" s="15"/>
      <c r="C46" s="20" t="s">
        <v>300</v>
      </c>
      <c r="D46" s="8">
        <v>80000</v>
      </c>
      <c r="E46" s="8"/>
      <c r="F46" s="17">
        <f t="shared" si="1"/>
        <v>80000</v>
      </c>
      <c r="G46" s="12">
        <v>80000</v>
      </c>
      <c r="H46" s="17">
        <f t="shared" si="2"/>
        <v>0</v>
      </c>
      <c r="I46" s="158"/>
    </row>
    <row r="47" spans="1:9" s="32" customFormat="1" hidden="1">
      <c r="A47" s="49"/>
      <c r="B47" s="50"/>
      <c r="C47" s="172"/>
      <c r="D47" s="173"/>
      <c r="E47" s="173"/>
      <c r="F47" s="17">
        <f t="shared" si="1"/>
        <v>0</v>
      </c>
      <c r="G47" s="33"/>
      <c r="H47" s="17">
        <f t="shared" si="2"/>
        <v>0</v>
      </c>
      <c r="I47" s="165"/>
    </row>
    <row r="48" spans="1:9" s="34" customFormat="1" ht="45.75" hidden="1">
      <c r="A48" s="174" t="s">
        <v>139</v>
      </c>
      <c r="B48" s="175"/>
      <c r="C48" s="172" t="s">
        <v>221</v>
      </c>
      <c r="D48" s="176">
        <f t="shared" ref="D48:G50" si="8">D49</f>
        <v>0</v>
      </c>
      <c r="E48" s="176"/>
      <c r="F48" s="17">
        <f t="shared" si="1"/>
        <v>0</v>
      </c>
      <c r="G48" s="177">
        <f t="shared" si="8"/>
        <v>0</v>
      </c>
      <c r="H48" s="17">
        <f t="shared" si="2"/>
        <v>0</v>
      </c>
      <c r="I48" s="166"/>
    </row>
    <row r="49" spans="1:9" s="32" customFormat="1" hidden="1">
      <c r="A49" s="49" t="s">
        <v>133</v>
      </c>
      <c r="B49" s="50"/>
      <c r="C49" s="48" t="s">
        <v>222</v>
      </c>
      <c r="D49" s="173">
        <f t="shared" si="8"/>
        <v>0</v>
      </c>
      <c r="E49" s="173"/>
      <c r="F49" s="17">
        <f t="shared" si="1"/>
        <v>0</v>
      </c>
      <c r="G49" s="33">
        <f t="shared" si="8"/>
        <v>0</v>
      </c>
      <c r="H49" s="17">
        <f t="shared" si="2"/>
        <v>0</v>
      </c>
      <c r="I49" s="165"/>
    </row>
    <row r="50" spans="1:9" s="32" customFormat="1" hidden="1">
      <c r="A50" s="49" t="s">
        <v>147</v>
      </c>
      <c r="B50" s="50"/>
      <c r="C50" s="48" t="s">
        <v>223</v>
      </c>
      <c r="D50" s="173">
        <f t="shared" si="8"/>
        <v>0</v>
      </c>
      <c r="E50" s="173"/>
      <c r="F50" s="17">
        <f t="shared" si="1"/>
        <v>0</v>
      </c>
      <c r="G50" s="33">
        <f t="shared" si="8"/>
        <v>0</v>
      </c>
      <c r="H50" s="17">
        <f t="shared" si="2"/>
        <v>0</v>
      </c>
      <c r="I50" s="165"/>
    </row>
    <row r="51" spans="1:9" s="32" customFormat="1" hidden="1">
      <c r="A51" s="49" t="s">
        <v>155</v>
      </c>
      <c r="B51" s="50"/>
      <c r="C51" s="48" t="s">
        <v>224</v>
      </c>
      <c r="D51" s="173">
        <v>0</v>
      </c>
      <c r="E51" s="173"/>
      <c r="F51" s="17">
        <f t="shared" si="1"/>
        <v>0</v>
      </c>
      <c r="G51" s="33">
        <v>0</v>
      </c>
      <c r="H51" s="17">
        <f t="shared" si="2"/>
        <v>0</v>
      </c>
      <c r="I51" s="165"/>
    </row>
    <row r="52" spans="1:9" s="22" customFormat="1">
      <c r="A52" s="18" t="s">
        <v>156</v>
      </c>
      <c r="B52" s="19" t="s">
        <v>2</v>
      </c>
      <c r="C52" s="153" t="s">
        <v>508</v>
      </c>
      <c r="D52" s="21">
        <v>0</v>
      </c>
      <c r="E52" s="21"/>
      <c r="F52" s="17">
        <v>10000</v>
      </c>
      <c r="G52" s="21">
        <v>10000</v>
      </c>
      <c r="H52" s="17">
        <f>F52-G52</f>
        <v>0</v>
      </c>
      <c r="I52" s="157"/>
    </row>
    <row r="53" spans="1:9">
      <c r="A53" s="77" t="s">
        <v>283</v>
      </c>
      <c r="B53" s="152" t="s">
        <v>2</v>
      </c>
      <c r="C53" s="153" t="s">
        <v>433</v>
      </c>
      <c r="D53" s="17">
        <v>50000</v>
      </c>
      <c r="E53" s="17">
        <v>50000</v>
      </c>
      <c r="F53" s="17">
        <v>50000</v>
      </c>
      <c r="G53" s="17">
        <v>0</v>
      </c>
      <c r="H53" s="17">
        <f t="shared" si="2"/>
        <v>50000</v>
      </c>
      <c r="I53" s="147"/>
    </row>
    <row r="54" spans="1:9" hidden="1">
      <c r="A54" s="14" t="s">
        <v>133</v>
      </c>
      <c r="B54" s="152"/>
      <c r="C54" s="16" t="s">
        <v>284</v>
      </c>
      <c r="D54" s="8">
        <f>D55</f>
        <v>50000</v>
      </c>
      <c r="E54" s="8"/>
      <c r="F54" s="17">
        <f t="shared" si="1"/>
        <v>50000</v>
      </c>
      <c r="G54" s="17"/>
      <c r="H54" s="17">
        <f t="shared" si="2"/>
        <v>50000</v>
      </c>
      <c r="I54" s="147"/>
    </row>
    <row r="55" spans="1:9" s="37" customFormat="1" hidden="1">
      <c r="A55" s="14" t="s">
        <v>156</v>
      </c>
      <c r="B55" s="15" t="s">
        <v>2</v>
      </c>
      <c r="C55" s="16" t="s">
        <v>285</v>
      </c>
      <c r="D55" s="12">
        <v>50000</v>
      </c>
      <c r="E55" s="12"/>
      <c r="F55" s="17">
        <f t="shared" si="1"/>
        <v>50000</v>
      </c>
      <c r="G55" s="12">
        <v>0</v>
      </c>
      <c r="H55" s="17">
        <f t="shared" si="2"/>
        <v>50000</v>
      </c>
      <c r="I55" s="163"/>
    </row>
    <row r="56" spans="1:9" ht="15" customHeight="1">
      <c r="A56" s="77" t="s">
        <v>330</v>
      </c>
      <c r="B56" s="152" t="s">
        <v>2</v>
      </c>
      <c r="C56" s="153" t="s">
        <v>432</v>
      </c>
      <c r="D56" s="17">
        <v>1000</v>
      </c>
      <c r="E56" s="17"/>
      <c r="F56" s="17">
        <f t="shared" si="1"/>
        <v>1000</v>
      </c>
      <c r="G56" s="17">
        <v>761</v>
      </c>
      <c r="H56" s="17">
        <f t="shared" si="2"/>
        <v>239</v>
      </c>
      <c r="I56" s="147"/>
    </row>
    <row r="57" spans="1:9" s="37" customFormat="1" hidden="1">
      <c r="A57" s="14" t="s">
        <v>133</v>
      </c>
      <c r="B57" s="15" t="s">
        <v>2</v>
      </c>
      <c r="C57" s="16" t="s">
        <v>160</v>
      </c>
      <c r="D57" s="12">
        <v>1000</v>
      </c>
      <c r="E57" s="12"/>
      <c r="F57" s="17">
        <f t="shared" si="1"/>
        <v>1000</v>
      </c>
      <c r="G57" s="12">
        <f>G58</f>
        <v>752.5</v>
      </c>
      <c r="H57" s="17">
        <f t="shared" si="2"/>
        <v>247.5</v>
      </c>
      <c r="I57" s="163"/>
    </row>
    <row r="58" spans="1:9" s="37" customFormat="1" hidden="1">
      <c r="A58" s="14" t="s">
        <v>156</v>
      </c>
      <c r="B58" s="15" t="s">
        <v>2</v>
      </c>
      <c r="C58" s="16" t="s">
        <v>161</v>
      </c>
      <c r="D58" s="12">
        <v>1000</v>
      </c>
      <c r="E58" s="12"/>
      <c r="F58" s="17">
        <f t="shared" si="1"/>
        <v>1000</v>
      </c>
      <c r="G58" s="12">
        <v>752.5</v>
      </c>
      <c r="H58" s="17">
        <f t="shared" si="2"/>
        <v>247.5</v>
      </c>
      <c r="I58" s="163"/>
    </row>
    <row r="59" spans="1:9" s="32" customFormat="1" hidden="1">
      <c r="A59" s="174" t="s">
        <v>159</v>
      </c>
      <c r="B59" s="178" t="s">
        <v>2</v>
      </c>
      <c r="C59" s="179" t="s">
        <v>248</v>
      </c>
      <c r="D59" s="176">
        <f>D60</f>
        <v>0</v>
      </c>
      <c r="E59" s="176"/>
      <c r="F59" s="17">
        <f t="shared" si="1"/>
        <v>0</v>
      </c>
      <c r="G59" s="176">
        <f>G60</f>
        <v>0</v>
      </c>
      <c r="H59" s="17">
        <f t="shared" si="2"/>
        <v>0</v>
      </c>
      <c r="I59" s="165"/>
    </row>
    <row r="60" spans="1:9" s="32" customFormat="1" hidden="1">
      <c r="A60" s="49" t="s">
        <v>133</v>
      </c>
      <c r="B60" s="50" t="s">
        <v>2</v>
      </c>
      <c r="C60" s="48" t="s">
        <v>249</v>
      </c>
      <c r="D60" s="33">
        <f>D61</f>
        <v>0</v>
      </c>
      <c r="E60" s="33"/>
      <c r="F60" s="17">
        <f t="shared" si="1"/>
        <v>0</v>
      </c>
      <c r="G60" s="33">
        <f>G61</f>
        <v>0</v>
      </c>
      <c r="H60" s="17">
        <f t="shared" si="2"/>
        <v>0</v>
      </c>
      <c r="I60" s="165"/>
    </row>
    <row r="61" spans="1:9" s="32" customFormat="1" hidden="1">
      <c r="A61" s="49" t="s">
        <v>151</v>
      </c>
      <c r="B61" s="50" t="s">
        <v>2</v>
      </c>
      <c r="C61" s="48" t="s">
        <v>250</v>
      </c>
      <c r="D61" s="33">
        <v>0</v>
      </c>
      <c r="E61" s="33"/>
      <c r="F61" s="17">
        <f t="shared" si="1"/>
        <v>0</v>
      </c>
      <c r="G61" s="33">
        <v>0</v>
      </c>
      <c r="H61" s="17">
        <f t="shared" si="2"/>
        <v>0</v>
      </c>
      <c r="I61" s="165"/>
    </row>
    <row r="62" spans="1:9" ht="23.25">
      <c r="A62" s="77" t="s">
        <v>329</v>
      </c>
      <c r="B62" s="152" t="s">
        <v>2</v>
      </c>
      <c r="C62" s="153" t="s">
        <v>431</v>
      </c>
      <c r="D62" s="17">
        <v>4993</v>
      </c>
      <c r="E62" s="17"/>
      <c r="F62" s="17">
        <f t="shared" si="1"/>
        <v>4993</v>
      </c>
      <c r="G62" s="17">
        <v>2496</v>
      </c>
      <c r="H62" s="17">
        <f t="shared" si="2"/>
        <v>2497</v>
      </c>
      <c r="I62" s="147"/>
    </row>
    <row r="63" spans="1:9" s="37" customFormat="1" hidden="1">
      <c r="A63" s="14" t="s">
        <v>157</v>
      </c>
      <c r="B63" s="15" t="s">
        <v>2</v>
      </c>
      <c r="C63" s="16" t="s">
        <v>162</v>
      </c>
      <c r="D63" s="12">
        <f>D64</f>
        <v>4939</v>
      </c>
      <c r="E63" s="12"/>
      <c r="F63" s="17">
        <f t="shared" si="1"/>
        <v>4939</v>
      </c>
      <c r="G63" s="12">
        <f>G64</f>
        <v>3690</v>
      </c>
      <c r="H63" s="17">
        <f t="shared" si="2"/>
        <v>1249</v>
      </c>
      <c r="I63" s="163"/>
    </row>
    <row r="64" spans="1:9" s="37" customFormat="1" hidden="1">
      <c r="A64" s="14" t="s">
        <v>158</v>
      </c>
      <c r="B64" s="15" t="s">
        <v>2</v>
      </c>
      <c r="C64" s="16" t="s">
        <v>163</v>
      </c>
      <c r="D64" s="12">
        <f>4939</f>
        <v>4939</v>
      </c>
      <c r="E64" s="12"/>
      <c r="F64" s="17">
        <f t="shared" si="1"/>
        <v>4939</v>
      </c>
      <c r="G64" s="12">
        <f>2455+1235</f>
        <v>3690</v>
      </c>
      <c r="H64" s="17">
        <f t="shared" si="2"/>
        <v>1249</v>
      </c>
      <c r="I64" s="163"/>
    </row>
    <row r="65" spans="1:9" ht="23.25">
      <c r="A65" s="77" t="s">
        <v>331</v>
      </c>
      <c r="B65" s="152" t="s">
        <v>2</v>
      </c>
      <c r="C65" s="153" t="s">
        <v>428</v>
      </c>
      <c r="D65" s="17">
        <f>D66</f>
        <v>80700</v>
      </c>
      <c r="E65" s="17">
        <f>E68+E69</f>
        <v>80700</v>
      </c>
      <c r="F65" s="17">
        <f>F68+F69</f>
        <v>80700</v>
      </c>
      <c r="G65" s="17">
        <f>G66</f>
        <v>38657.81</v>
      </c>
      <c r="H65" s="17">
        <f t="shared" si="2"/>
        <v>42042.19</v>
      </c>
      <c r="I65" s="156">
        <f>61240-G65-G70</f>
        <v>22582.190000000002</v>
      </c>
    </row>
    <row r="66" spans="1:9" s="37" customFormat="1" hidden="1">
      <c r="A66" s="14" t="s">
        <v>133</v>
      </c>
      <c r="B66" s="15" t="s">
        <v>2</v>
      </c>
      <c r="C66" s="16" t="s">
        <v>165</v>
      </c>
      <c r="D66" s="12">
        <f>D67</f>
        <v>80700</v>
      </c>
      <c r="E66" s="12"/>
      <c r="F66" s="17">
        <f t="shared" si="1"/>
        <v>80700</v>
      </c>
      <c r="G66" s="12">
        <f>G67</f>
        <v>38657.81</v>
      </c>
      <c r="H66" s="17">
        <f t="shared" si="2"/>
        <v>42042.19</v>
      </c>
      <c r="I66" s="163"/>
    </row>
    <row r="67" spans="1:9" s="37" customFormat="1" ht="23.25" hidden="1">
      <c r="A67" s="14" t="s">
        <v>135</v>
      </c>
      <c r="B67" s="15" t="s">
        <v>2</v>
      </c>
      <c r="C67" s="16" t="s">
        <v>166</v>
      </c>
      <c r="D67" s="12">
        <f>D68+D69</f>
        <v>80700</v>
      </c>
      <c r="E67" s="12"/>
      <c r="F67" s="17">
        <f t="shared" si="1"/>
        <v>80700</v>
      </c>
      <c r="G67" s="12">
        <f>G68+G69</f>
        <v>38657.81</v>
      </c>
      <c r="H67" s="17">
        <f t="shared" si="2"/>
        <v>42042.19</v>
      </c>
      <c r="I67" s="163"/>
    </row>
    <row r="68" spans="1:9" s="37" customFormat="1">
      <c r="A68" s="14" t="s">
        <v>137</v>
      </c>
      <c r="B68" s="15" t="s">
        <v>2</v>
      </c>
      <c r="C68" s="16" t="s">
        <v>429</v>
      </c>
      <c r="D68" s="12">
        <v>61982</v>
      </c>
      <c r="E68" s="12">
        <v>61982</v>
      </c>
      <c r="F68" s="12">
        <v>61982</v>
      </c>
      <c r="G68" s="12">
        <v>29691.11</v>
      </c>
      <c r="H68" s="8">
        <f t="shared" si="2"/>
        <v>32290.89</v>
      </c>
      <c r="I68" s="163"/>
    </row>
    <row r="69" spans="1:9" s="37" customFormat="1">
      <c r="A69" s="14" t="s">
        <v>138</v>
      </c>
      <c r="B69" s="15" t="s">
        <v>2</v>
      </c>
      <c r="C69" s="16" t="s">
        <v>430</v>
      </c>
      <c r="D69" s="12">
        <v>18718</v>
      </c>
      <c r="E69" s="12">
        <v>18718</v>
      </c>
      <c r="F69" s="12">
        <v>18718</v>
      </c>
      <c r="G69" s="12">
        <v>8966.7000000000007</v>
      </c>
      <c r="H69" s="8">
        <f t="shared" si="2"/>
        <v>9751.2999999999993</v>
      </c>
      <c r="I69" s="163"/>
    </row>
    <row r="70" spans="1:9">
      <c r="A70" s="77" t="s">
        <v>164</v>
      </c>
      <c r="B70" s="152" t="s">
        <v>2</v>
      </c>
      <c r="C70" s="153" t="s">
        <v>434</v>
      </c>
      <c r="D70" s="17">
        <f>D71+D75</f>
        <v>16200</v>
      </c>
      <c r="E70" s="17">
        <f>E76</f>
        <v>546.63</v>
      </c>
      <c r="F70" s="17">
        <f>F73+F76+F77</f>
        <v>10350</v>
      </c>
      <c r="G70" s="17">
        <f>G71+G75</f>
        <v>0</v>
      </c>
      <c r="H70" s="17">
        <f t="shared" si="2"/>
        <v>10350</v>
      </c>
      <c r="I70" s="147"/>
    </row>
    <row r="71" spans="1:9" s="37" customFormat="1" hidden="1">
      <c r="A71" s="14" t="s">
        <v>133</v>
      </c>
      <c r="B71" s="15" t="s">
        <v>2</v>
      </c>
      <c r="C71" s="16" t="s">
        <v>167</v>
      </c>
      <c r="D71" s="12">
        <f>D72</f>
        <v>2000</v>
      </c>
      <c r="E71" s="12"/>
      <c r="F71" s="17">
        <f t="shared" si="1"/>
        <v>2000</v>
      </c>
      <c r="G71" s="12">
        <f>G72</f>
        <v>0</v>
      </c>
      <c r="H71" s="17">
        <f t="shared" si="2"/>
        <v>2000</v>
      </c>
      <c r="I71" s="163"/>
    </row>
    <row r="72" spans="1:9" s="37" customFormat="1" hidden="1">
      <c r="A72" s="14" t="s">
        <v>147</v>
      </c>
      <c r="B72" s="15" t="s">
        <v>2</v>
      </c>
      <c r="C72" s="16" t="s">
        <v>168</v>
      </c>
      <c r="D72" s="12">
        <f>D73+D74</f>
        <v>2000</v>
      </c>
      <c r="E72" s="12"/>
      <c r="F72" s="17">
        <f t="shared" si="1"/>
        <v>2000</v>
      </c>
      <c r="G72" s="12">
        <f>G73+G74</f>
        <v>0</v>
      </c>
      <c r="H72" s="17">
        <f t="shared" si="2"/>
        <v>2000</v>
      </c>
      <c r="I72" s="163"/>
    </row>
    <row r="73" spans="1:9" s="37" customFormat="1">
      <c r="A73" s="14" t="s">
        <v>155</v>
      </c>
      <c r="B73" s="15" t="s">
        <v>2</v>
      </c>
      <c r="C73" s="16" t="s">
        <v>435</v>
      </c>
      <c r="D73" s="12">
        <v>2000</v>
      </c>
      <c r="E73" s="12"/>
      <c r="F73" s="17">
        <v>0</v>
      </c>
      <c r="G73" s="12">
        <v>0</v>
      </c>
      <c r="H73" s="17">
        <f t="shared" si="2"/>
        <v>0</v>
      </c>
      <c r="I73" s="163"/>
    </row>
    <row r="74" spans="1:9" s="37" customFormat="1" hidden="1">
      <c r="A74" s="14" t="s">
        <v>151</v>
      </c>
      <c r="B74" s="15"/>
      <c r="C74" s="16" t="s">
        <v>265</v>
      </c>
      <c r="D74" s="12">
        <v>0</v>
      </c>
      <c r="E74" s="12"/>
      <c r="F74" s="17">
        <f t="shared" si="1"/>
        <v>0</v>
      </c>
      <c r="G74" s="12">
        <v>0</v>
      </c>
      <c r="H74" s="17">
        <f t="shared" si="2"/>
        <v>0</v>
      </c>
      <c r="I74" s="163"/>
    </row>
    <row r="75" spans="1:9" s="37" customFormat="1" hidden="1">
      <c r="A75" s="14" t="s">
        <v>157</v>
      </c>
      <c r="B75" s="15" t="s">
        <v>2</v>
      </c>
      <c r="C75" s="16" t="s">
        <v>169</v>
      </c>
      <c r="D75" s="12">
        <f>D76+D77</f>
        <v>14200</v>
      </c>
      <c r="E75" s="12"/>
      <c r="F75" s="17">
        <f t="shared" si="1"/>
        <v>14200</v>
      </c>
      <c r="G75" s="12">
        <f>G76+G77</f>
        <v>0</v>
      </c>
      <c r="H75" s="17">
        <f t="shared" si="2"/>
        <v>14200</v>
      </c>
      <c r="I75" s="163"/>
    </row>
    <row r="76" spans="1:9" s="37" customFormat="1">
      <c r="A76" s="70" t="s">
        <v>151</v>
      </c>
      <c r="B76" s="15" t="s">
        <v>2</v>
      </c>
      <c r="C76" s="16" t="s">
        <v>436</v>
      </c>
      <c r="D76" s="12">
        <v>3500</v>
      </c>
      <c r="E76" s="12">
        <v>546.63</v>
      </c>
      <c r="F76" s="17">
        <v>0</v>
      </c>
      <c r="G76" s="12">
        <v>0</v>
      </c>
      <c r="H76" s="17">
        <f t="shared" si="2"/>
        <v>0</v>
      </c>
      <c r="I76" s="163"/>
    </row>
    <row r="77" spans="1:9" s="37" customFormat="1">
      <c r="A77" s="14" t="s">
        <v>158</v>
      </c>
      <c r="B77" s="15"/>
      <c r="C77" s="16" t="s">
        <v>437</v>
      </c>
      <c r="D77" s="12">
        <v>10700</v>
      </c>
      <c r="E77" s="12"/>
      <c r="F77" s="8">
        <v>10350</v>
      </c>
      <c r="G77" s="12"/>
      <c r="H77" s="8">
        <f>F77-G77</f>
        <v>10350</v>
      </c>
      <c r="I77" s="163"/>
    </row>
    <row r="78" spans="1:9" s="37" customFormat="1" ht="27" customHeight="1">
      <c r="A78" s="141" t="s">
        <v>387</v>
      </c>
      <c r="B78" s="142"/>
      <c r="C78" s="143"/>
      <c r="D78" s="144">
        <f>D81+D84+D106+D111+D115+D128+D132+D136+D140+D144+D154+D162+D169+D176+D179+D193+D198+D202+D212+D214</f>
        <v>1661199</v>
      </c>
      <c r="E78" s="144">
        <f>E81+E84+E106+E111+E115+E128+E132+E136+E140+E144+E154+E162+E169+E176+E179+E193+E198+E202+E212+E214</f>
        <v>19550.989999999998</v>
      </c>
      <c r="F78" s="144">
        <f>F81+F84+F106+F111+F115+F124+F128+F132+F136+F140+F144+F154+F162+F169+F176+F179+F193+F198+F202+F212+F214+F120+F98+F149+F183</f>
        <v>2903969.3600000003</v>
      </c>
      <c r="G78" s="144">
        <f>G81+G84+G106+G111+G115+G128+G132+G136+G140+G144+G154+G162+G169+G176+G179+G193+G198+G202+G212+G214</f>
        <v>496688.62</v>
      </c>
      <c r="H78" s="144">
        <f>H81+H84+H106+H111+H115+H120+H124+H128+H132+H136+H140+H144+H154+H162+H169+H176+H179+H193+H198+H202+H212+H214</f>
        <v>1338700.7400000002</v>
      </c>
      <c r="I78" s="163"/>
    </row>
    <row r="79" spans="1:9" s="37" customFormat="1" ht="34.5" customHeight="1">
      <c r="A79" s="320" t="s">
        <v>332</v>
      </c>
      <c r="B79" s="320"/>
      <c r="C79" s="320"/>
      <c r="D79" s="320"/>
      <c r="E79" s="320"/>
      <c r="F79" s="320"/>
      <c r="G79" s="320"/>
      <c r="H79" s="320"/>
      <c r="I79" s="163"/>
    </row>
    <row r="80" spans="1:9" s="84" customFormat="1" ht="27.75" customHeight="1">
      <c r="A80" s="319" t="s">
        <v>333</v>
      </c>
      <c r="B80" s="319"/>
      <c r="C80" s="319"/>
      <c r="D80" s="319"/>
      <c r="E80" s="319"/>
      <c r="F80" s="319"/>
      <c r="G80" s="319"/>
      <c r="H80" s="319"/>
      <c r="I80" s="167"/>
    </row>
    <row r="81" spans="1:9" ht="23.25">
      <c r="A81" s="77" t="s">
        <v>334</v>
      </c>
      <c r="B81" s="152" t="s">
        <v>2</v>
      </c>
      <c r="C81" s="153" t="s">
        <v>438</v>
      </c>
      <c r="D81" s="17">
        <f>D82</f>
        <v>10000</v>
      </c>
      <c r="E81" s="17"/>
      <c r="F81" s="17">
        <f>D81+E81</f>
        <v>10000</v>
      </c>
      <c r="G81" s="17">
        <f>G82</f>
        <v>4869.6000000000004</v>
      </c>
      <c r="H81" s="17">
        <f>F81-G81</f>
        <v>5130.3999999999996</v>
      </c>
      <c r="I81" s="147"/>
    </row>
    <row r="82" spans="1:9" s="37" customFormat="1" ht="15.75" hidden="1" customHeight="1">
      <c r="A82" s="14" t="s">
        <v>157</v>
      </c>
      <c r="B82" s="15" t="s">
        <v>2</v>
      </c>
      <c r="C82" s="16" t="s">
        <v>266</v>
      </c>
      <c r="D82" s="12">
        <f>D83</f>
        <v>10000</v>
      </c>
      <c r="E82" s="12"/>
      <c r="F82" s="17">
        <f t="shared" ref="F82:F109" si="9">D82+E82</f>
        <v>10000</v>
      </c>
      <c r="G82" s="12">
        <f>G83</f>
        <v>4869.6000000000004</v>
      </c>
      <c r="H82" s="17">
        <f t="shared" ref="H82:H109" si="10">F82-G82</f>
        <v>5130.3999999999996</v>
      </c>
      <c r="I82" s="163"/>
    </row>
    <row r="83" spans="1:9" s="37" customFormat="1">
      <c r="A83" s="70" t="s">
        <v>155</v>
      </c>
      <c r="B83" s="15" t="s">
        <v>2</v>
      </c>
      <c r="C83" s="16" t="s">
        <v>439</v>
      </c>
      <c r="D83" s="12">
        <v>10000</v>
      </c>
      <c r="E83" s="12"/>
      <c r="F83" s="8">
        <f t="shared" si="9"/>
        <v>10000</v>
      </c>
      <c r="G83" s="12">
        <v>4869.6000000000004</v>
      </c>
      <c r="H83" s="8">
        <f t="shared" si="10"/>
        <v>5130.3999999999996</v>
      </c>
      <c r="I83" s="163"/>
    </row>
    <row r="84" spans="1:9" ht="24" customHeight="1">
      <c r="A84" s="77" t="s">
        <v>335</v>
      </c>
      <c r="B84" s="152" t="s">
        <v>2</v>
      </c>
      <c r="C84" s="153" t="s">
        <v>440</v>
      </c>
      <c r="D84" s="17">
        <f>D85+D89</f>
        <v>35000</v>
      </c>
      <c r="E84" s="17">
        <f t="shared" ref="E84" si="11">E85+E89</f>
        <v>0</v>
      </c>
      <c r="F84" s="17">
        <f>F87+F88+F90+F91</f>
        <v>76270</v>
      </c>
      <c r="G84" s="17">
        <f>G85+G89</f>
        <v>12745</v>
      </c>
      <c r="H84" s="17">
        <f t="shared" si="10"/>
        <v>63525</v>
      </c>
      <c r="I84" s="147"/>
    </row>
    <row r="85" spans="1:9" hidden="1">
      <c r="A85" s="14" t="s">
        <v>133</v>
      </c>
      <c r="B85" s="15" t="s">
        <v>2</v>
      </c>
      <c r="C85" s="16" t="s">
        <v>171</v>
      </c>
      <c r="D85" s="12">
        <f>D86</f>
        <v>14300</v>
      </c>
      <c r="E85" s="12"/>
      <c r="F85" s="17">
        <f t="shared" si="9"/>
        <v>14300</v>
      </c>
      <c r="G85" s="12">
        <f>G86</f>
        <v>0</v>
      </c>
      <c r="H85" s="17">
        <f t="shared" si="10"/>
        <v>14300</v>
      </c>
      <c r="I85" s="147"/>
    </row>
    <row r="86" spans="1:9" hidden="1">
      <c r="A86" s="14" t="s">
        <v>147</v>
      </c>
      <c r="B86" s="15" t="s">
        <v>2</v>
      </c>
      <c r="C86" s="16" t="s">
        <v>172</v>
      </c>
      <c r="D86" s="12">
        <f>D87+D88</f>
        <v>14300</v>
      </c>
      <c r="E86" s="12"/>
      <c r="F86" s="17">
        <f t="shared" si="9"/>
        <v>14300</v>
      </c>
      <c r="G86" s="12">
        <f>G87+G88</f>
        <v>0</v>
      </c>
      <c r="H86" s="17">
        <f t="shared" si="10"/>
        <v>14300</v>
      </c>
      <c r="I86" s="147"/>
    </row>
    <row r="87" spans="1:9">
      <c r="A87" s="14" t="s">
        <v>155</v>
      </c>
      <c r="B87" s="15" t="s">
        <v>2</v>
      </c>
      <c r="C87" s="16" t="s">
        <v>441</v>
      </c>
      <c r="D87" s="12">
        <v>8800</v>
      </c>
      <c r="E87" s="12"/>
      <c r="F87" s="8">
        <v>42670</v>
      </c>
      <c r="G87" s="12">
        <v>0</v>
      </c>
      <c r="H87" s="8">
        <f t="shared" si="10"/>
        <v>42670</v>
      </c>
      <c r="I87" s="147"/>
    </row>
    <row r="88" spans="1:9">
      <c r="A88" s="70" t="s">
        <v>151</v>
      </c>
      <c r="B88" s="15"/>
      <c r="C88" s="16" t="s">
        <v>442</v>
      </c>
      <c r="D88" s="12">
        <v>5500</v>
      </c>
      <c r="E88" s="12"/>
      <c r="F88" s="8">
        <f t="shared" si="9"/>
        <v>5500</v>
      </c>
      <c r="G88" s="12">
        <v>0</v>
      </c>
      <c r="H88" s="8">
        <f t="shared" si="10"/>
        <v>5500</v>
      </c>
      <c r="I88" s="147"/>
    </row>
    <row r="89" spans="1:9" s="37" customFormat="1" hidden="1">
      <c r="A89" s="14" t="s">
        <v>157</v>
      </c>
      <c r="B89" s="15" t="s">
        <v>2</v>
      </c>
      <c r="C89" s="16" t="s">
        <v>173</v>
      </c>
      <c r="D89" s="12">
        <f>+D91</f>
        <v>20700</v>
      </c>
      <c r="E89" s="12"/>
      <c r="F89" s="8">
        <f t="shared" si="9"/>
        <v>20700</v>
      </c>
      <c r="G89" s="12">
        <f>G91</f>
        <v>12745</v>
      </c>
      <c r="H89" s="8">
        <f t="shared" si="10"/>
        <v>7955</v>
      </c>
      <c r="I89" s="163"/>
    </row>
    <row r="90" spans="1:9" s="36" customFormat="1">
      <c r="A90" s="70" t="s">
        <v>158</v>
      </c>
      <c r="B90" s="15" t="s">
        <v>2</v>
      </c>
      <c r="C90" s="16" t="s">
        <v>485</v>
      </c>
      <c r="D90" s="12">
        <v>0</v>
      </c>
      <c r="E90" s="12"/>
      <c r="F90" s="8">
        <v>4000</v>
      </c>
      <c r="G90" s="12"/>
      <c r="H90" s="8">
        <f t="shared" si="10"/>
        <v>4000</v>
      </c>
      <c r="I90" s="158"/>
    </row>
    <row r="91" spans="1:9" s="36" customFormat="1">
      <c r="A91" s="14" t="s">
        <v>158</v>
      </c>
      <c r="B91" s="15" t="s">
        <v>2</v>
      </c>
      <c r="C91" s="16" t="s">
        <v>443</v>
      </c>
      <c r="D91" s="12">
        <v>20700</v>
      </c>
      <c r="E91" s="12"/>
      <c r="F91" s="8">
        <v>24100</v>
      </c>
      <c r="G91" s="12">
        <v>12745</v>
      </c>
      <c r="H91" s="8">
        <f t="shared" si="10"/>
        <v>11355</v>
      </c>
      <c r="I91" s="158"/>
    </row>
    <row r="92" spans="1:9" s="34" customFormat="1" ht="34.5" hidden="1">
      <c r="A92" s="174" t="s">
        <v>170</v>
      </c>
      <c r="B92" s="175"/>
      <c r="C92" s="172" t="s">
        <v>225</v>
      </c>
      <c r="D92" s="180">
        <f>D93+D96</f>
        <v>0</v>
      </c>
      <c r="E92" s="180"/>
      <c r="F92" s="17">
        <f t="shared" si="9"/>
        <v>0</v>
      </c>
      <c r="G92" s="180">
        <f>G93+G96</f>
        <v>0</v>
      </c>
      <c r="H92" s="17">
        <f t="shared" si="10"/>
        <v>0</v>
      </c>
      <c r="I92" s="166"/>
    </row>
    <row r="93" spans="1:9" s="32" customFormat="1" hidden="1">
      <c r="A93" s="49" t="s">
        <v>133</v>
      </c>
      <c r="B93" s="50"/>
      <c r="C93" s="48" t="s">
        <v>226</v>
      </c>
      <c r="D93" s="181">
        <f>D94</f>
        <v>0</v>
      </c>
      <c r="E93" s="181"/>
      <c r="F93" s="17">
        <f t="shared" si="9"/>
        <v>0</v>
      </c>
      <c r="G93" s="181">
        <f>G94</f>
        <v>0</v>
      </c>
      <c r="H93" s="17">
        <f t="shared" si="10"/>
        <v>0</v>
      </c>
      <c r="I93" s="165"/>
    </row>
    <row r="94" spans="1:9" s="32" customFormat="1" hidden="1">
      <c r="A94" s="49" t="s">
        <v>147</v>
      </c>
      <c r="B94" s="50"/>
      <c r="C94" s="48" t="s">
        <v>227</v>
      </c>
      <c r="D94" s="181">
        <f>D95</f>
        <v>0</v>
      </c>
      <c r="E94" s="181"/>
      <c r="F94" s="17">
        <f t="shared" si="9"/>
        <v>0</v>
      </c>
      <c r="G94" s="181">
        <f>G95</f>
        <v>0</v>
      </c>
      <c r="H94" s="17">
        <f t="shared" si="10"/>
        <v>0</v>
      </c>
      <c r="I94" s="165"/>
    </row>
    <row r="95" spans="1:9" s="32" customFormat="1" hidden="1">
      <c r="A95" s="49" t="s">
        <v>155</v>
      </c>
      <c r="B95" s="50"/>
      <c r="C95" s="48" t="s">
        <v>228</v>
      </c>
      <c r="D95" s="181">
        <v>0</v>
      </c>
      <c r="E95" s="181"/>
      <c r="F95" s="17">
        <f t="shared" si="9"/>
        <v>0</v>
      </c>
      <c r="G95" s="181">
        <v>0</v>
      </c>
      <c r="H95" s="17">
        <f t="shared" si="10"/>
        <v>0</v>
      </c>
      <c r="I95" s="165"/>
    </row>
    <row r="96" spans="1:9" s="32" customFormat="1" hidden="1">
      <c r="A96" s="49" t="s">
        <v>157</v>
      </c>
      <c r="B96" s="50" t="s">
        <v>2</v>
      </c>
      <c r="C96" s="48" t="s">
        <v>229</v>
      </c>
      <c r="D96" s="181">
        <f>D97</f>
        <v>0</v>
      </c>
      <c r="E96" s="181"/>
      <c r="F96" s="17">
        <f t="shared" si="9"/>
        <v>0</v>
      </c>
      <c r="G96" s="181">
        <f>G97</f>
        <v>0</v>
      </c>
      <c r="H96" s="17">
        <f t="shared" si="10"/>
        <v>0</v>
      </c>
      <c r="I96" s="165"/>
    </row>
    <row r="97" spans="1:9" s="32" customFormat="1" hidden="1">
      <c r="A97" s="49" t="s">
        <v>174</v>
      </c>
      <c r="B97" s="50" t="s">
        <v>2</v>
      </c>
      <c r="C97" s="48" t="s">
        <v>230</v>
      </c>
      <c r="D97" s="181">
        <v>0</v>
      </c>
      <c r="E97" s="181"/>
      <c r="F97" s="17">
        <f t="shared" si="9"/>
        <v>0</v>
      </c>
      <c r="G97" s="33">
        <v>0</v>
      </c>
      <c r="H97" s="17">
        <f t="shared" si="10"/>
        <v>0</v>
      </c>
      <c r="I97" s="165"/>
    </row>
    <row r="98" spans="1:9" s="25" customFormat="1" ht="38.25" customHeight="1">
      <c r="A98" s="183" t="s">
        <v>510</v>
      </c>
      <c r="B98" s="184" t="s">
        <v>2</v>
      </c>
      <c r="C98" s="185" t="s">
        <v>511</v>
      </c>
      <c r="D98" s="29">
        <v>0</v>
      </c>
      <c r="E98" s="29">
        <f t="shared" ref="E98" si="12">E99+E103</f>
        <v>0</v>
      </c>
      <c r="F98" s="29">
        <f>F101+F104</f>
        <v>34950</v>
      </c>
      <c r="G98" s="29">
        <f>G99+G103</f>
        <v>0</v>
      </c>
      <c r="H98" s="29">
        <f t="shared" si="10"/>
        <v>34950</v>
      </c>
      <c r="I98" s="161"/>
    </row>
    <row r="99" spans="1:9" s="25" customFormat="1" hidden="1">
      <c r="A99" s="70" t="s">
        <v>133</v>
      </c>
      <c r="B99" s="71" t="s">
        <v>2</v>
      </c>
      <c r="C99" s="72" t="s">
        <v>171</v>
      </c>
      <c r="D99" s="28">
        <f>D100</f>
        <v>0</v>
      </c>
      <c r="E99" s="28"/>
      <c r="F99" s="29">
        <f t="shared" ref="F99:F100" si="13">D99+E99</f>
        <v>0</v>
      </c>
      <c r="G99" s="28">
        <f>G100</f>
        <v>0</v>
      </c>
      <c r="H99" s="29">
        <f t="shared" si="10"/>
        <v>0</v>
      </c>
      <c r="I99" s="161"/>
    </row>
    <row r="100" spans="1:9" s="25" customFormat="1" hidden="1">
      <c r="A100" s="70" t="s">
        <v>147</v>
      </c>
      <c r="B100" s="71" t="s">
        <v>2</v>
      </c>
      <c r="C100" s="72" t="s">
        <v>172</v>
      </c>
      <c r="D100" s="28">
        <f>D101+D102</f>
        <v>0</v>
      </c>
      <c r="E100" s="28"/>
      <c r="F100" s="29">
        <f t="shared" si="13"/>
        <v>0</v>
      </c>
      <c r="G100" s="28">
        <f>G101+G102</f>
        <v>0</v>
      </c>
      <c r="H100" s="29">
        <f t="shared" si="10"/>
        <v>0</v>
      </c>
      <c r="I100" s="161"/>
    </row>
    <row r="101" spans="1:9" s="25" customFormat="1">
      <c r="A101" s="70" t="s">
        <v>133</v>
      </c>
      <c r="B101" s="71" t="s">
        <v>2</v>
      </c>
      <c r="C101" s="72" t="s">
        <v>512</v>
      </c>
      <c r="D101" s="28">
        <v>0</v>
      </c>
      <c r="E101" s="28"/>
      <c r="F101" s="44">
        <f>F102</f>
        <v>20000</v>
      </c>
      <c r="G101" s="28">
        <v>0</v>
      </c>
      <c r="H101" s="44">
        <f t="shared" si="10"/>
        <v>20000</v>
      </c>
      <c r="I101" s="161"/>
    </row>
    <row r="102" spans="1:9" s="25" customFormat="1">
      <c r="A102" s="70" t="s">
        <v>155</v>
      </c>
      <c r="B102" s="71"/>
      <c r="C102" s="72" t="s">
        <v>513</v>
      </c>
      <c r="D102" s="28">
        <v>0</v>
      </c>
      <c r="E102" s="28"/>
      <c r="F102" s="44">
        <v>20000</v>
      </c>
      <c r="G102" s="28">
        <v>0</v>
      </c>
      <c r="H102" s="44">
        <f t="shared" si="10"/>
        <v>20000</v>
      </c>
      <c r="I102" s="161"/>
    </row>
    <row r="103" spans="1:9" s="85" customFormat="1" hidden="1">
      <c r="A103" s="70" t="s">
        <v>157</v>
      </c>
      <c r="B103" s="71" t="s">
        <v>2</v>
      </c>
      <c r="C103" s="72" t="s">
        <v>173</v>
      </c>
      <c r="D103" s="28">
        <f>+D105</f>
        <v>0</v>
      </c>
      <c r="E103" s="28"/>
      <c r="F103" s="44">
        <f t="shared" ref="F103" si="14">D103+E103</f>
        <v>0</v>
      </c>
      <c r="G103" s="28">
        <f>G105</f>
        <v>0</v>
      </c>
      <c r="H103" s="44">
        <f t="shared" si="10"/>
        <v>0</v>
      </c>
      <c r="I103" s="168"/>
    </row>
    <row r="104" spans="1:9" s="244" customFormat="1">
      <c r="A104" s="70" t="s">
        <v>157</v>
      </c>
      <c r="B104" s="71" t="s">
        <v>2</v>
      </c>
      <c r="C104" s="72" t="s">
        <v>514</v>
      </c>
      <c r="D104" s="28">
        <v>0</v>
      </c>
      <c r="E104" s="28"/>
      <c r="F104" s="44">
        <f>F105</f>
        <v>14950</v>
      </c>
      <c r="G104" s="28"/>
      <c r="H104" s="44">
        <f t="shared" si="10"/>
        <v>14950</v>
      </c>
      <c r="I104" s="243"/>
    </row>
    <row r="105" spans="1:9" s="244" customFormat="1">
      <c r="A105" s="70" t="s">
        <v>174</v>
      </c>
      <c r="B105" s="71" t="s">
        <v>2</v>
      </c>
      <c r="C105" s="72" t="s">
        <v>515</v>
      </c>
      <c r="D105" s="28">
        <v>0</v>
      </c>
      <c r="E105" s="28"/>
      <c r="F105" s="44">
        <v>14950</v>
      </c>
      <c r="G105" s="28">
        <v>0</v>
      </c>
      <c r="H105" s="44">
        <f t="shared" si="10"/>
        <v>14950</v>
      </c>
      <c r="I105" s="243"/>
    </row>
    <row r="106" spans="1:9" ht="45.75">
      <c r="A106" s="77" t="s">
        <v>336</v>
      </c>
      <c r="B106" s="152"/>
      <c r="C106" s="153" t="s">
        <v>444</v>
      </c>
      <c r="D106" s="17">
        <f t="shared" ref="D106:G108" si="15">D107</f>
        <v>20000</v>
      </c>
      <c r="E106" s="17"/>
      <c r="F106" s="17">
        <f t="shared" si="9"/>
        <v>20000</v>
      </c>
      <c r="G106" s="17">
        <f t="shared" si="15"/>
        <v>0</v>
      </c>
      <c r="H106" s="17">
        <f t="shared" si="10"/>
        <v>20000</v>
      </c>
      <c r="I106" s="147"/>
    </row>
    <row r="107" spans="1:9" s="37" customFormat="1" hidden="1">
      <c r="A107" s="14" t="s">
        <v>133</v>
      </c>
      <c r="B107" s="15"/>
      <c r="C107" s="43" t="s">
        <v>217</v>
      </c>
      <c r="D107" s="12">
        <f t="shared" si="15"/>
        <v>20000</v>
      </c>
      <c r="E107" s="12"/>
      <c r="F107" s="17">
        <f t="shared" si="9"/>
        <v>20000</v>
      </c>
      <c r="G107" s="12">
        <f t="shared" si="15"/>
        <v>0</v>
      </c>
      <c r="H107" s="17">
        <f t="shared" si="10"/>
        <v>20000</v>
      </c>
      <c r="I107" s="163"/>
    </row>
    <row r="108" spans="1:9" s="37" customFormat="1" hidden="1">
      <c r="A108" s="14" t="s">
        <v>147</v>
      </c>
      <c r="B108" s="15"/>
      <c r="C108" s="43" t="s">
        <v>218</v>
      </c>
      <c r="D108" s="12">
        <f t="shared" si="15"/>
        <v>20000</v>
      </c>
      <c r="E108" s="12"/>
      <c r="F108" s="17">
        <f t="shared" si="9"/>
        <v>20000</v>
      </c>
      <c r="G108" s="12">
        <f t="shared" si="15"/>
        <v>0</v>
      </c>
      <c r="H108" s="17">
        <f t="shared" si="10"/>
        <v>20000</v>
      </c>
      <c r="I108" s="163"/>
    </row>
    <row r="109" spans="1:9" s="37" customFormat="1" ht="15.75" customHeight="1">
      <c r="A109" s="14" t="s">
        <v>155</v>
      </c>
      <c r="B109" s="13"/>
      <c r="C109" s="43" t="s">
        <v>445</v>
      </c>
      <c r="D109" s="8">
        <v>20000</v>
      </c>
      <c r="E109" s="8"/>
      <c r="F109" s="17">
        <f t="shared" si="9"/>
        <v>20000</v>
      </c>
      <c r="G109" s="8">
        <v>0</v>
      </c>
      <c r="H109" s="8">
        <f t="shared" si="10"/>
        <v>20000</v>
      </c>
      <c r="I109" s="182" t="s">
        <v>337</v>
      </c>
    </row>
    <row r="110" spans="1:9" s="37" customFormat="1" ht="15" customHeight="1">
      <c r="A110" s="319" t="s">
        <v>338</v>
      </c>
      <c r="B110" s="319"/>
      <c r="C110" s="319"/>
      <c r="D110" s="319"/>
      <c r="E110" s="319"/>
      <c r="F110" s="319"/>
      <c r="G110" s="319"/>
      <c r="H110" s="319"/>
      <c r="I110" s="182"/>
    </row>
    <row r="111" spans="1:9" s="36" customFormat="1" ht="26.25" customHeight="1">
      <c r="A111" s="77" t="s">
        <v>339</v>
      </c>
      <c r="B111" s="152" t="s">
        <v>2</v>
      </c>
      <c r="C111" s="153" t="s">
        <v>488</v>
      </c>
      <c r="D111" s="17">
        <f t="shared" ref="D111:G113" si="16">D112</f>
        <v>173200</v>
      </c>
      <c r="E111" s="17">
        <f t="shared" si="16"/>
        <v>0</v>
      </c>
      <c r="F111" s="17">
        <f>F114</f>
        <v>138600</v>
      </c>
      <c r="G111" s="17">
        <f t="shared" si="16"/>
        <v>0</v>
      </c>
      <c r="H111" s="17">
        <f>F111-G111</f>
        <v>138600</v>
      </c>
      <c r="I111" s="158"/>
    </row>
    <row r="112" spans="1:9" s="36" customFormat="1" hidden="1">
      <c r="A112" s="14" t="s">
        <v>133</v>
      </c>
      <c r="B112" s="15" t="s">
        <v>2</v>
      </c>
      <c r="C112" s="16" t="s">
        <v>175</v>
      </c>
      <c r="D112" s="12">
        <f t="shared" si="16"/>
        <v>173200</v>
      </c>
      <c r="E112" s="12"/>
      <c r="F112" s="17">
        <f t="shared" ref="F112:F175" si="17">D112+E112</f>
        <v>173200</v>
      </c>
      <c r="G112" s="12">
        <f t="shared" si="16"/>
        <v>0</v>
      </c>
      <c r="H112" s="17">
        <f t="shared" ref="H112:H180" si="18">F112-G112</f>
        <v>173200</v>
      </c>
      <c r="I112" s="158"/>
    </row>
    <row r="113" spans="1:9" s="36" customFormat="1" hidden="1">
      <c r="A113" s="14" t="s">
        <v>147</v>
      </c>
      <c r="B113" s="15" t="s">
        <v>2</v>
      </c>
      <c r="C113" s="16" t="s">
        <v>176</v>
      </c>
      <c r="D113" s="12">
        <f t="shared" si="16"/>
        <v>173200</v>
      </c>
      <c r="E113" s="12"/>
      <c r="F113" s="17">
        <f t="shared" si="17"/>
        <v>173200</v>
      </c>
      <c r="G113" s="12">
        <f t="shared" si="16"/>
        <v>0</v>
      </c>
      <c r="H113" s="17">
        <f t="shared" si="18"/>
        <v>173200</v>
      </c>
      <c r="I113" s="158"/>
    </row>
    <row r="114" spans="1:9" s="36" customFormat="1">
      <c r="A114" s="14" t="s">
        <v>155</v>
      </c>
      <c r="B114" s="15" t="s">
        <v>2</v>
      </c>
      <c r="C114" s="16" t="s">
        <v>487</v>
      </c>
      <c r="D114" s="12">
        <v>173200</v>
      </c>
      <c r="E114" s="12"/>
      <c r="F114" s="8">
        <v>138600</v>
      </c>
      <c r="G114" s="12"/>
      <c r="H114" s="8">
        <f t="shared" si="18"/>
        <v>138600</v>
      </c>
      <c r="I114" s="158"/>
    </row>
    <row r="115" spans="1:9" s="36" customFormat="1" ht="45.75">
      <c r="A115" s="77" t="s">
        <v>340</v>
      </c>
      <c r="B115" s="152" t="s">
        <v>2</v>
      </c>
      <c r="C115" s="153" t="s">
        <v>446</v>
      </c>
      <c r="D115" s="17">
        <f t="shared" ref="D115:G117" si="19">D116</f>
        <v>180</v>
      </c>
      <c r="E115" s="17"/>
      <c r="F115" s="17">
        <f>F118</f>
        <v>1386</v>
      </c>
      <c r="G115" s="17"/>
      <c r="H115" s="17">
        <f t="shared" si="18"/>
        <v>1386</v>
      </c>
      <c r="I115" s="158"/>
    </row>
    <row r="116" spans="1:9" s="36" customFormat="1" hidden="1">
      <c r="A116" s="14" t="s">
        <v>133</v>
      </c>
      <c r="B116" s="15" t="s">
        <v>2</v>
      </c>
      <c r="C116" s="16" t="s">
        <v>177</v>
      </c>
      <c r="D116" s="12">
        <f t="shared" si="19"/>
        <v>180</v>
      </c>
      <c r="E116" s="12"/>
      <c r="F116" s="17">
        <f t="shared" si="17"/>
        <v>180</v>
      </c>
      <c r="G116" s="12">
        <f t="shared" si="19"/>
        <v>0</v>
      </c>
      <c r="H116" s="17">
        <f t="shared" si="18"/>
        <v>180</v>
      </c>
      <c r="I116" s="158"/>
    </row>
    <row r="117" spans="1:9" s="36" customFormat="1" hidden="1">
      <c r="A117" s="14" t="s">
        <v>147</v>
      </c>
      <c r="B117" s="15" t="s">
        <v>2</v>
      </c>
      <c r="C117" s="16" t="s">
        <v>178</v>
      </c>
      <c r="D117" s="12">
        <f t="shared" si="19"/>
        <v>180</v>
      </c>
      <c r="E117" s="12"/>
      <c r="F117" s="17">
        <f t="shared" si="17"/>
        <v>180</v>
      </c>
      <c r="G117" s="12">
        <f t="shared" si="19"/>
        <v>0</v>
      </c>
      <c r="H117" s="17">
        <f t="shared" si="18"/>
        <v>180</v>
      </c>
      <c r="I117" s="158"/>
    </row>
    <row r="118" spans="1:9" s="36" customFormat="1">
      <c r="A118" s="14" t="s">
        <v>155</v>
      </c>
      <c r="B118" s="15" t="s">
        <v>2</v>
      </c>
      <c r="C118" s="16" t="s">
        <v>447</v>
      </c>
      <c r="D118" s="12">
        <v>180</v>
      </c>
      <c r="E118" s="12"/>
      <c r="F118" s="8">
        <v>1386</v>
      </c>
      <c r="G118" s="12"/>
      <c r="H118" s="8">
        <f t="shared" si="18"/>
        <v>1386</v>
      </c>
      <c r="I118" s="158"/>
    </row>
    <row r="119" spans="1:9" s="36" customFormat="1" hidden="1">
      <c r="A119" s="14"/>
      <c r="B119" s="15"/>
      <c r="C119" s="16"/>
      <c r="D119" s="12"/>
      <c r="E119" s="12"/>
      <c r="F119" s="17">
        <f t="shared" si="17"/>
        <v>0</v>
      </c>
      <c r="G119" s="12"/>
      <c r="H119" s="17">
        <f t="shared" si="18"/>
        <v>0</v>
      </c>
      <c r="I119" s="158"/>
    </row>
    <row r="120" spans="1:9" s="36" customFormat="1" ht="26.25" customHeight="1">
      <c r="A120" s="77" t="s">
        <v>339</v>
      </c>
      <c r="B120" s="152" t="s">
        <v>2</v>
      </c>
      <c r="C120" s="153" t="s">
        <v>486</v>
      </c>
      <c r="D120" s="17">
        <f t="shared" ref="D120:G122" si="20">D121</f>
        <v>0</v>
      </c>
      <c r="E120" s="17">
        <f t="shared" si="20"/>
        <v>0</v>
      </c>
      <c r="F120" s="17">
        <v>13600</v>
      </c>
      <c r="G120" s="17">
        <f t="shared" si="20"/>
        <v>0</v>
      </c>
      <c r="H120" s="17">
        <f t="shared" si="18"/>
        <v>13600</v>
      </c>
      <c r="I120" s="158"/>
    </row>
    <row r="121" spans="1:9" s="36" customFormat="1" hidden="1">
      <c r="A121" s="14" t="s">
        <v>133</v>
      </c>
      <c r="B121" s="15" t="s">
        <v>2</v>
      </c>
      <c r="C121" s="16" t="s">
        <v>175</v>
      </c>
      <c r="D121" s="12">
        <f t="shared" si="20"/>
        <v>0</v>
      </c>
      <c r="E121" s="12"/>
      <c r="F121" s="17">
        <f t="shared" ref="F121:F122" si="21">D121+E121</f>
        <v>0</v>
      </c>
      <c r="G121" s="12">
        <f t="shared" si="20"/>
        <v>0</v>
      </c>
      <c r="H121" s="17">
        <f t="shared" si="18"/>
        <v>0</v>
      </c>
      <c r="I121" s="158"/>
    </row>
    <row r="122" spans="1:9" s="36" customFormat="1" hidden="1">
      <c r="A122" s="14" t="s">
        <v>147</v>
      </c>
      <c r="B122" s="15" t="s">
        <v>2</v>
      </c>
      <c r="C122" s="16" t="s">
        <v>176</v>
      </c>
      <c r="D122" s="12">
        <f t="shared" si="20"/>
        <v>0</v>
      </c>
      <c r="E122" s="12"/>
      <c r="F122" s="17">
        <f t="shared" si="21"/>
        <v>0</v>
      </c>
      <c r="G122" s="12">
        <f t="shared" si="20"/>
        <v>0</v>
      </c>
      <c r="H122" s="17">
        <f t="shared" si="18"/>
        <v>0</v>
      </c>
      <c r="I122" s="158"/>
    </row>
    <row r="123" spans="1:9" s="36" customFormat="1">
      <c r="A123" s="14" t="s">
        <v>155</v>
      </c>
      <c r="B123" s="15" t="s">
        <v>2</v>
      </c>
      <c r="C123" s="16" t="s">
        <v>489</v>
      </c>
      <c r="D123" s="12">
        <v>0</v>
      </c>
      <c r="E123" s="12"/>
      <c r="F123" s="8">
        <v>13600</v>
      </c>
      <c r="G123" s="12"/>
      <c r="H123" s="8">
        <f t="shared" si="18"/>
        <v>13600</v>
      </c>
      <c r="I123" s="158"/>
    </row>
    <row r="124" spans="1:9" s="36" customFormat="1" ht="45.75">
      <c r="A124" s="77" t="s">
        <v>340</v>
      </c>
      <c r="B124" s="152" t="s">
        <v>2</v>
      </c>
      <c r="C124" s="153" t="s">
        <v>490</v>
      </c>
      <c r="D124" s="17">
        <f t="shared" ref="D124:G126" si="22">D125</f>
        <v>0</v>
      </c>
      <c r="E124" s="17"/>
      <c r="F124" s="17">
        <f>F127</f>
        <v>2720</v>
      </c>
      <c r="G124" s="17">
        <f t="shared" si="22"/>
        <v>0</v>
      </c>
      <c r="H124" s="17">
        <f t="shared" si="18"/>
        <v>2720</v>
      </c>
      <c r="I124" s="158"/>
    </row>
    <row r="125" spans="1:9" s="36" customFormat="1" hidden="1">
      <c r="A125" s="14" t="s">
        <v>133</v>
      </c>
      <c r="B125" s="15" t="s">
        <v>2</v>
      </c>
      <c r="C125" s="16" t="s">
        <v>177</v>
      </c>
      <c r="D125" s="12">
        <f t="shared" si="22"/>
        <v>0</v>
      </c>
      <c r="E125" s="12"/>
      <c r="F125" s="17">
        <f t="shared" ref="F125:F126" si="23">D125+E125</f>
        <v>0</v>
      </c>
      <c r="G125" s="12">
        <f t="shared" si="22"/>
        <v>0</v>
      </c>
      <c r="H125" s="17">
        <f t="shared" si="18"/>
        <v>0</v>
      </c>
      <c r="I125" s="158"/>
    </row>
    <row r="126" spans="1:9" s="36" customFormat="1" hidden="1">
      <c r="A126" s="14" t="s">
        <v>147</v>
      </c>
      <c r="B126" s="15" t="s">
        <v>2</v>
      </c>
      <c r="C126" s="16" t="s">
        <v>178</v>
      </c>
      <c r="D126" s="12">
        <f t="shared" si="22"/>
        <v>0</v>
      </c>
      <c r="E126" s="12"/>
      <c r="F126" s="17">
        <f t="shared" si="23"/>
        <v>0</v>
      </c>
      <c r="G126" s="12">
        <f t="shared" si="22"/>
        <v>0</v>
      </c>
      <c r="H126" s="17">
        <f t="shared" si="18"/>
        <v>0</v>
      </c>
      <c r="I126" s="158"/>
    </row>
    <row r="127" spans="1:9" s="36" customFormat="1">
      <c r="A127" s="14" t="s">
        <v>155</v>
      </c>
      <c r="B127" s="15" t="s">
        <v>2</v>
      </c>
      <c r="C127" s="16" t="s">
        <v>491</v>
      </c>
      <c r="D127" s="12">
        <v>0</v>
      </c>
      <c r="E127" s="12"/>
      <c r="F127" s="8">
        <v>2720</v>
      </c>
      <c r="G127" s="12"/>
      <c r="H127" s="8">
        <f t="shared" si="18"/>
        <v>2720</v>
      </c>
      <c r="I127" s="158"/>
    </row>
    <row r="128" spans="1:9" ht="36" customHeight="1">
      <c r="A128" s="77" t="s">
        <v>341</v>
      </c>
      <c r="B128" s="152" t="s">
        <v>2</v>
      </c>
      <c r="C128" s="153" t="s">
        <v>448</v>
      </c>
      <c r="D128" s="17">
        <f>D129</f>
        <v>124000</v>
      </c>
      <c r="E128" s="17">
        <v>-41310</v>
      </c>
      <c r="F128" s="17">
        <f>F131</f>
        <v>212785</v>
      </c>
      <c r="G128" s="17">
        <f t="shared" ref="D128:G130" si="24">G129</f>
        <v>0</v>
      </c>
      <c r="H128" s="17">
        <f t="shared" si="18"/>
        <v>212785</v>
      </c>
      <c r="I128" s="147">
        <v>100967</v>
      </c>
    </row>
    <row r="129" spans="1:9" s="37" customFormat="1" hidden="1">
      <c r="A129" s="14" t="s">
        <v>133</v>
      </c>
      <c r="B129" s="15" t="s">
        <v>2</v>
      </c>
      <c r="C129" s="16" t="s">
        <v>179</v>
      </c>
      <c r="D129" s="12">
        <f t="shared" si="24"/>
        <v>124000</v>
      </c>
      <c r="E129" s="12"/>
      <c r="F129" s="17">
        <f t="shared" si="17"/>
        <v>124000</v>
      </c>
      <c r="G129" s="12">
        <f t="shared" si="24"/>
        <v>0</v>
      </c>
      <c r="H129" s="17">
        <f t="shared" si="18"/>
        <v>124000</v>
      </c>
      <c r="I129" s="170" t="e">
        <f>I128-#REF!</f>
        <v>#REF!</v>
      </c>
    </row>
    <row r="130" spans="1:9" s="37" customFormat="1" hidden="1">
      <c r="A130" s="14" t="s">
        <v>147</v>
      </c>
      <c r="B130" s="15" t="s">
        <v>2</v>
      </c>
      <c r="C130" s="16" t="s">
        <v>180</v>
      </c>
      <c r="D130" s="12">
        <f t="shared" si="24"/>
        <v>124000</v>
      </c>
      <c r="E130" s="12"/>
      <c r="F130" s="17">
        <f t="shared" si="17"/>
        <v>124000</v>
      </c>
      <c r="G130" s="12">
        <f t="shared" si="24"/>
        <v>0</v>
      </c>
      <c r="H130" s="17">
        <f t="shared" si="18"/>
        <v>124000</v>
      </c>
      <c r="I130" s="163"/>
    </row>
    <row r="131" spans="1:9" s="37" customFormat="1">
      <c r="A131" s="14" t="s">
        <v>155</v>
      </c>
      <c r="B131" s="15" t="s">
        <v>2</v>
      </c>
      <c r="C131" s="16" t="s">
        <v>449</v>
      </c>
      <c r="D131" s="12">
        <v>124000</v>
      </c>
      <c r="E131" s="12">
        <v>-41310</v>
      </c>
      <c r="F131" s="8">
        <v>212785</v>
      </c>
      <c r="G131" s="12">
        <v>0</v>
      </c>
      <c r="H131" s="8">
        <f t="shared" si="18"/>
        <v>212785</v>
      </c>
      <c r="I131" s="17"/>
    </row>
    <row r="132" spans="1:9" s="35" customFormat="1" ht="23.25">
      <c r="A132" s="77" t="s">
        <v>342</v>
      </c>
      <c r="B132" s="152" t="s">
        <v>2</v>
      </c>
      <c r="C132" s="153" t="s">
        <v>450</v>
      </c>
      <c r="D132" s="21">
        <f t="shared" ref="D132:G134" si="25">D133</f>
        <v>40000</v>
      </c>
      <c r="E132" s="21">
        <f t="shared" si="25"/>
        <v>0</v>
      </c>
      <c r="F132" s="21">
        <f t="shared" si="25"/>
        <v>40000</v>
      </c>
      <c r="G132" s="21"/>
      <c r="H132" s="17">
        <f t="shared" si="18"/>
        <v>40000</v>
      </c>
      <c r="I132" s="164"/>
    </row>
    <row r="133" spans="1:9" s="36" customFormat="1" hidden="1">
      <c r="A133" s="14" t="s">
        <v>133</v>
      </c>
      <c r="B133" s="13"/>
      <c r="C133" s="43" t="s">
        <v>267</v>
      </c>
      <c r="D133" s="12">
        <f t="shared" si="25"/>
        <v>40000</v>
      </c>
      <c r="E133" s="12"/>
      <c r="F133" s="17">
        <f t="shared" si="17"/>
        <v>40000</v>
      </c>
      <c r="G133" s="12">
        <f t="shared" si="25"/>
        <v>0</v>
      </c>
      <c r="H133" s="17">
        <f t="shared" si="18"/>
        <v>40000</v>
      </c>
      <c r="I133" s="158"/>
    </row>
    <row r="134" spans="1:9" s="36" customFormat="1" hidden="1">
      <c r="A134" s="14" t="s">
        <v>147</v>
      </c>
      <c r="B134" s="15"/>
      <c r="C134" s="43" t="s">
        <v>268</v>
      </c>
      <c r="D134" s="12">
        <f t="shared" si="25"/>
        <v>40000</v>
      </c>
      <c r="E134" s="12"/>
      <c r="F134" s="17">
        <f t="shared" si="17"/>
        <v>40000</v>
      </c>
      <c r="G134" s="12">
        <f t="shared" si="25"/>
        <v>0</v>
      </c>
      <c r="H134" s="17">
        <f t="shared" si="18"/>
        <v>40000</v>
      </c>
      <c r="I134" s="158"/>
    </row>
    <row r="135" spans="1:9" s="36" customFormat="1" ht="15.75" customHeight="1">
      <c r="A135" s="14" t="s">
        <v>151</v>
      </c>
      <c r="B135" s="15"/>
      <c r="C135" s="43" t="s">
        <v>451</v>
      </c>
      <c r="D135" s="12">
        <v>40000</v>
      </c>
      <c r="E135" s="12">
        <v>40000</v>
      </c>
      <c r="F135" s="12">
        <v>40000</v>
      </c>
      <c r="G135" s="12">
        <v>0</v>
      </c>
      <c r="H135" s="17">
        <f t="shared" si="18"/>
        <v>40000</v>
      </c>
      <c r="I135" s="158"/>
    </row>
    <row r="136" spans="1:9">
      <c r="A136" s="77" t="s">
        <v>343</v>
      </c>
      <c r="B136" s="152" t="s">
        <v>2</v>
      </c>
      <c r="C136" s="153" t="s">
        <v>452</v>
      </c>
      <c r="D136" s="17">
        <f>D137</f>
        <v>3000</v>
      </c>
      <c r="E136" s="17"/>
      <c r="F136" s="17">
        <f t="shared" si="17"/>
        <v>3000</v>
      </c>
      <c r="G136" s="17">
        <f t="shared" ref="D136:G138" si="26">G137</f>
        <v>0</v>
      </c>
      <c r="H136" s="17">
        <f t="shared" si="18"/>
        <v>3000</v>
      </c>
      <c r="I136" s="147"/>
    </row>
    <row r="137" spans="1:9" s="37" customFormat="1" hidden="1">
      <c r="A137" s="14" t="s">
        <v>133</v>
      </c>
      <c r="B137" s="15" t="s">
        <v>2</v>
      </c>
      <c r="C137" s="16" t="s">
        <v>181</v>
      </c>
      <c r="D137" s="12">
        <f t="shared" si="26"/>
        <v>3000</v>
      </c>
      <c r="E137" s="12"/>
      <c r="F137" s="17">
        <f t="shared" si="17"/>
        <v>3000</v>
      </c>
      <c r="G137" s="12">
        <f t="shared" si="26"/>
        <v>0</v>
      </c>
      <c r="H137" s="17">
        <f t="shared" si="18"/>
        <v>3000</v>
      </c>
      <c r="I137" s="163"/>
    </row>
    <row r="138" spans="1:9" s="37" customFormat="1" hidden="1">
      <c r="A138" s="14" t="s">
        <v>147</v>
      </c>
      <c r="B138" s="15" t="s">
        <v>2</v>
      </c>
      <c r="C138" s="16" t="s">
        <v>182</v>
      </c>
      <c r="D138" s="12">
        <f t="shared" si="26"/>
        <v>3000</v>
      </c>
      <c r="E138" s="12"/>
      <c r="F138" s="17">
        <f t="shared" si="17"/>
        <v>3000</v>
      </c>
      <c r="G138" s="12">
        <f t="shared" si="26"/>
        <v>0</v>
      </c>
      <c r="H138" s="17">
        <f t="shared" si="18"/>
        <v>3000</v>
      </c>
      <c r="I138" s="163"/>
    </row>
    <row r="139" spans="1:9" s="37" customFormat="1">
      <c r="A139" s="14" t="s">
        <v>151</v>
      </c>
      <c r="B139" s="15" t="s">
        <v>2</v>
      </c>
      <c r="C139" s="16" t="s">
        <v>453</v>
      </c>
      <c r="D139" s="12">
        <v>3000</v>
      </c>
      <c r="E139" s="12"/>
      <c r="F139" s="8">
        <f t="shared" si="17"/>
        <v>3000</v>
      </c>
      <c r="G139" s="12">
        <v>0</v>
      </c>
      <c r="H139" s="8">
        <f t="shared" si="18"/>
        <v>3000</v>
      </c>
      <c r="I139" s="163"/>
    </row>
    <row r="140" spans="1:9">
      <c r="A140" s="77" t="s">
        <v>344</v>
      </c>
      <c r="B140" s="152" t="s">
        <v>2</v>
      </c>
      <c r="C140" s="153" t="s">
        <v>454</v>
      </c>
      <c r="D140" s="17">
        <v>1000</v>
      </c>
      <c r="E140" s="17"/>
      <c r="F140" s="17">
        <f t="shared" si="17"/>
        <v>1000</v>
      </c>
      <c r="G140" s="17">
        <v>0</v>
      </c>
      <c r="H140" s="17">
        <f t="shared" si="18"/>
        <v>1000</v>
      </c>
      <c r="I140" s="147"/>
    </row>
    <row r="141" spans="1:9" s="37" customFormat="1" hidden="1">
      <c r="A141" s="14" t="s">
        <v>133</v>
      </c>
      <c r="B141" s="15" t="s">
        <v>2</v>
      </c>
      <c r="C141" s="16" t="s">
        <v>183</v>
      </c>
      <c r="D141" s="12">
        <v>1000</v>
      </c>
      <c r="E141" s="12"/>
      <c r="F141" s="17">
        <f t="shared" si="17"/>
        <v>1000</v>
      </c>
      <c r="G141" s="12">
        <v>0</v>
      </c>
      <c r="H141" s="17">
        <f t="shared" si="18"/>
        <v>1000</v>
      </c>
      <c r="I141" s="163"/>
    </row>
    <row r="142" spans="1:9" s="37" customFormat="1" hidden="1">
      <c r="A142" s="14" t="s">
        <v>147</v>
      </c>
      <c r="B142" s="15" t="s">
        <v>2</v>
      </c>
      <c r="C142" s="16" t="s">
        <v>184</v>
      </c>
      <c r="D142" s="12">
        <v>1000</v>
      </c>
      <c r="E142" s="12"/>
      <c r="F142" s="17">
        <f t="shared" si="17"/>
        <v>1000</v>
      </c>
      <c r="G142" s="12">
        <v>0</v>
      </c>
      <c r="H142" s="17">
        <f t="shared" si="18"/>
        <v>1000</v>
      </c>
      <c r="I142" s="163"/>
    </row>
    <row r="143" spans="1:9" s="37" customFormat="1">
      <c r="A143" s="14" t="s">
        <v>155</v>
      </c>
      <c r="B143" s="15" t="s">
        <v>2</v>
      </c>
      <c r="C143" s="16" t="s">
        <v>455</v>
      </c>
      <c r="D143" s="12">
        <v>1000</v>
      </c>
      <c r="E143" s="12"/>
      <c r="F143" s="8">
        <f t="shared" si="17"/>
        <v>1000</v>
      </c>
      <c r="G143" s="12">
        <v>0</v>
      </c>
      <c r="H143" s="8">
        <f t="shared" si="18"/>
        <v>1000</v>
      </c>
      <c r="I143" s="163"/>
    </row>
    <row r="144" spans="1:9">
      <c r="A144" s="77" t="s">
        <v>345</v>
      </c>
      <c r="B144" s="152" t="s">
        <v>2</v>
      </c>
      <c r="C144" s="153" t="s">
        <v>456</v>
      </c>
      <c r="D144" s="17">
        <f>D145</f>
        <v>278760</v>
      </c>
      <c r="E144" s="17">
        <f t="shared" ref="E144:F144" si="27">E145</f>
        <v>0</v>
      </c>
      <c r="F144" s="17">
        <f t="shared" si="27"/>
        <v>278760</v>
      </c>
      <c r="G144" s="17">
        <f>G147+G148</f>
        <v>134590.1</v>
      </c>
      <c r="H144" s="17">
        <f t="shared" si="18"/>
        <v>144169.9</v>
      </c>
      <c r="I144" s="147"/>
    </row>
    <row r="145" spans="1:9" s="37" customFormat="1" hidden="1">
      <c r="A145" s="14" t="s">
        <v>133</v>
      </c>
      <c r="B145" s="15" t="s">
        <v>2</v>
      </c>
      <c r="C145" s="16" t="s">
        <v>186</v>
      </c>
      <c r="D145" s="12">
        <f>D146</f>
        <v>278760</v>
      </c>
      <c r="E145" s="12"/>
      <c r="F145" s="17">
        <f t="shared" si="17"/>
        <v>278760</v>
      </c>
      <c r="G145" s="12">
        <f>G146</f>
        <v>134590.1</v>
      </c>
      <c r="H145" s="17">
        <f t="shared" si="18"/>
        <v>144169.9</v>
      </c>
      <c r="I145" s="163"/>
    </row>
    <row r="146" spans="1:9" s="37" customFormat="1" ht="23.25" hidden="1">
      <c r="A146" s="14" t="s">
        <v>135</v>
      </c>
      <c r="B146" s="15" t="s">
        <v>2</v>
      </c>
      <c r="C146" s="16" t="s">
        <v>187</v>
      </c>
      <c r="D146" s="12">
        <f>D147+D148</f>
        <v>278760</v>
      </c>
      <c r="E146" s="12"/>
      <c r="F146" s="17">
        <f t="shared" si="17"/>
        <v>278760</v>
      </c>
      <c r="G146" s="12">
        <f>G147+G148</f>
        <v>134590.1</v>
      </c>
      <c r="H146" s="17">
        <f t="shared" si="18"/>
        <v>144169.9</v>
      </c>
      <c r="I146" s="163"/>
    </row>
    <row r="147" spans="1:9" s="37" customFormat="1">
      <c r="A147" s="14" t="s">
        <v>137</v>
      </c>
      <c r="B147" s="15" t="s">
        <v>2</v>
      </c>
      <c r="C147" s="16" t="s">
        <v>457</v>
      </c>
      <c r="D147" s="12">
        <v>214102</v>
      </c>
      <c r="E147" s="12">
        <v>214102</v>
      </c>
      <c r="F147" s="12">
        <v>214102</v>
      </c>
      <c r="G147" s="12">
        <v>103371.78</v>
      </c>
      <c r="H147" s="8">
        <f t="shared" si="18"/>
        <v>110730.22</v>
      </c>
      <c r="I147" s="163"/>
    </row>
    <row r="148" spans="1:9" s="37" customFormat="1">
      <c r="A148" s="14" t="s">
        <v>138</v>
      </c>
      <c r="B148" s="15" t="s">
        <v>2</v>
      </c>
      <c r="C148" s="16" t="s">
        <v>458</v>
      </c>
      <c r="D148" s="12">
        <v>64658</v>
      </c>
      <c r="E148" s="12">
        <v>64658</v>
      </c>
      <c r="F148" s="12">
        <v>64658</v>
      </c>
      <c r="G148" s="12">
        <v>31218.32</v>
      </c>
      <c r="H148" s="8">
        <f t="shared" si="18"/>
        <v>33439.68</v>
      </c>
      <c r="I148" s="163"/>
    </row>
    <row r="149" spans="1:9" s="25" customFormat="1">
      <c r="A149" s="183" t="s">
        <v>185</v>
      </c>
      <c r="B149" s="184" t="s">
        <v>2</v>
      </c>
      <c r="C149" s="185" t="s">
        <v>518</v>
      </c>
      <c r="D149" s="29">
        <f>D150</f>
        <v>0</v>
      </c>
      <c r="E149" s="29">
        <f t="shared" ref="E149" si="28">E150</f>
        <v>0</v>
      </c>
      <c r="F149" s="29">
        <f>F152</f>
        <v>1000000</v>
      </c>
      <c r="G149" s="29">
        <v>0</v>
      </c>
      <c r="H149" s="29">
        <f t="shared" si="18"/>
        <v>1000000</v>
      </c>
      <c r="I149" s="161"/>
    </row>
    <row r="150" spans="1:9" s="85" customFormat="1" hidden="1">
      <c r="A150" s="70" t="s">
        <v>133</v>
      </c>
      <c r="B150" s="71" t="s">
        <v>2</v>
      </c>
      <c r="C150" s="72" t="s">
        <v>186</v>
      </c>
      <c r="D150" s="28">
        <f>D151</f>
        <v>0</v>
      </c>
      <c r="E150" s="28"/>
      <c r="F150" s="29">
        <f t="shared" ref="F150:F151" si="29">D150+E150</f>
        <v>0</v>
      </c>
      <c r="G150" s="28">
        <f>G151</f>
        <v>0</v>
      </c>
      <c r="H150" s="29">
        <f t="shared" si="18"/>
        <v>0</v>
      </c>
      <c r="I150" s="168"/>
    </row>
    <row r="151" spans="1:9" s="85" customFormat="1" ht="23.25" hidden="1">
      <c r="A151" s="70" t="s">
        <v>135</v>
      </c>
      <c r="B151" s="71" t="s">
        <v>2</v>
      </c>
      <c r="C151" s="72" t="s">
        <v>187</v>
      </c>
      <c r="D151" s="28">
        <f>D152+D153</f>
        <v>0</v>
      </c>
      <c r="E151" s="28"/>
      <c r="F151" s="29">
        <f t="shared" si="29"/>
        <v>0</v>
      </c>
      <c r="G151" s="28">
        <f>G152+G153</f>
        <v>0</v>
      </c>
      <c r="H151" s="29">
        <f t="shared" si="18"/>
        <v>0</v>
      </c>
      <c r="I151" s="168"/>
    </row>
    <row r="152" spans="1:9" s="85" customFormat="1">
      <c r="A152" s="70" t="s">
        <v>157</v>
      </c>
      <c r="B152" s="71" t="s">
        <v>2</v>
      </c>
      <c r="C152" s="72" t="s">
        <v>517</v>
      </c>
      <c r="D152" s="28">
        <v>0</v>
      </c>
      <c r="E152" s="28">
        <v>214102</v>
      </c>
      <c r="F152" s="28">
        <f>F153</f>
        <v>1000000</v>
      </c>
      <c r="G152" s="28">
        <v>0</v>
      </c>
      <c r="H152" s="44">
        <f t="shared" si="18"/>
        <v>1000000</v>
      </c>
      <c r="I152" s="168"/>
    </row>
    <row r="153" spans="1:9" s="85" customFormat="1">
      <c r="A153" s="70" t="s">
        <v>174</v>
      </c>
      <c r="B153" s="71" t="s">
        <v>2</v>
      </c>
      <c r="C153" s="72" t="s">
        <v>516</v>
      </c>
      <c r="D153" s="28">
        <v>0</v>
      </c>
      <c r="E153" s="28">
        <v>64658</v>
      </c>
      <c r="F153" s="28">
        <v>1000000</v>
      </c>
      <c r="G153" s="28">
        <v>0</v>
      </c>
      <c r="H153" s="44">
        <f t="shared" si="18"/>
        <v>1000000</v>
      </c>
      <c r="I153" s="168"/>
    </row>
    <row r="154" spans="1:9">
      <c r="A154" s="77" t="s">
        <v>345</v>
      </c>
      <c r="B154" s="152" t="s">
        <v>2</v>
      </c>
      <c r="C154" s="153" t="s">
        <v>459</v>
      </c>
      <c r="D154" s="17">
        <f>D155+D159</f>
        <v>614200</v>
      </c>
      <c r="E154" s="17"/>
      <c r="F154" s="17">
        <f>F157+F158+F160+F161</f>
        <v>629200</v>
      </c>
      <c r="G154" s="17">
        <f>G155+G159</f>
        <v>211926.94</v>
      </c>
      <c r="H154" s="17">
        <f t="shared" si="18"/>
        <v>417273.06</v>
      </c>
      <c r="I154" s="147"/>
    </row>
    <row r="155" spans="1:9" s="37" customFormat="1" hidden="1">
      <c r="A155" s="14" t="s">
        <v>133</v>
      </c>
      <c r="B155" s="15" t="s">
        <v>2</v>
      </c>
      <c r="C155" s="16" t="s">
        <v>188</v>
      </c>
      <c r="D155" s="12">
        <f>D156</f>
        <v>596923</v>
      </c>
      <c r="E155" s="12"/>
      <c r="F155" s="17">
        <f t="shared" si="17"/>
        <v>596923</v>
      </c>
      <c r="G155" s="12">
        <f>G156</f>
        <v>211926.94</v>
      </c>
      <c r="H155" s="17">
        <f t="shared" si="18"/>
        <v>384996.06</v>
      </c>
      <c r="I155" s="163"/>
    </row>
    <row r="156" spans="1:9" s="37" customFormat="1" hidden="1">
      <c r="A156" s="14" t="s">
        <v>147</v>
      </c>
      <c r="B156" s="15" t="s">
        <v>2</v>
      </c>
      <c r="C156" s="16" t="s">
        <v>189</v>
      </c>
      <c r="D156" s="12">
        <f>D157+D158</f>
        <v>596923</v>
      </c>
      <c r="E156" s="12"/>
      <c r="F156" s="17">
        <f t="shared" si="17"/>
        <v>596923</v>
      </c>
      <c r="G156" s="12">
        <f>G157+G158</f>
        <v>211926.94</v>
      </c>
      <c r="H156" s="17">
        <f t="shared" si="18"/>
        <v>384996.06</v>
      </c>
      <c r="I156" s="163"/>
    </row>
    <row r="157" spans="1:9" s="37" customFormat="1">
      <c r="A157" s="14" t="s">
        <v>346</v>
      </c>
      <c r="B157" s="15" t="s">
        <v>2</v>
      </c>
      <c r="C157" s="16" t="s">
        <v>460</v>
      </c>
      <c r="D157" s="12">
        <v>594200</v>
      </c>
      <c r="E157" s="12"/>
      <c r="F157" s="8">
        <f t="shared" si="17"/>
        <v>594200</v>
      </c>
      <c r="G157" s="12">
        <v>211926.94</v>
      </c>
      <c r="H157" s="8">
        <f t="shared" si="18"/>
        <v>382273.06</v>
      </c>
      <c r="I157" s="163"/>
    </row>
    <row r="158" spans="1:9" s="37" customFormat="1">
      <c r="A158" s="14" t="s">
        <v>151</v>
      </c>
      <c r="B158" s="15"/>
      <c r="C158" s="16" t="s">
        <v>461</v>
      </c>
      <c r="D158" s="12">
        <v>2723</v>
      </c>
      <c r="E158" s="12"/>
      <c r="F158" s="8">
        <f t="shared" si="17"/>
        <v>2723</v>
      </c>
      <c r="G158" s="12"/>
      <c r="H158" s="8">
        <f t="shared" si="18"/>
        <v>2723</v>
      </c>
      <c r="I158" s="163"/>
    </row>
    <row r="159" spans="1:9" s="37" customFormat="1" hidden="1">
      <c r="A159" s="14" t="s">
        <v>157</v>
      </c>
      <c r="B159" s="15"/>
      <c r="C159" s="16" t="s">
        <v>219</v>
      </c>
      <c r="D159" s="12">
        <f>D160+D161</f>
        <v>17277</v>
      </c>
      <c r="E159" s="12"/>
      <c r="F159" s="17">
        <f t="shared" si="17"/>
        <v>17277</v>
      </c>
      <c r="G159" s="12">
        <f>G160+G161</f>
        <v>0</v>
      </c>
      <c r="H159" s="8">
        <f t="shared" si="18"/>
        <v>17277</v>
      </c>
      <c r="I159" s="163"/>
    </row>
    <row r="160" spans="1:9" s="37" customFormat="1">
      <c r="A160" s="14" t="s">
        <v>174</v>
      </c>
      <c r="B160" s="15"/>
      <c r="C160" s="16" t="s">
        <v>462</v>
      </c>
      <c r="D160" s="12">
        <v>7277</v>
      </c>
      <c r="E160" s="12"/>
      <c r="F160" s="8">
        <f t="shared" si="17"/>
        <v>7277</v>
      </c>
      <c r="G160" s="12"/>
      <c r="H160" s="8">
        <f t="shared" si="18"/>
        <v>7277</v>
      </c>
      <c r="I160" s="163"/>
    </row>
    <row r="161" spans="1:15" s="37" customFormat="1">
      <c r="A161" s="14" t="s">
        <v>158</v>
      </c>
      <c r="B161" s="15"/>
      <c r="C161" s="16" t="s">
        <v>463</v>
      </c>
      <c r="D161" s="12">
        <v>10000</v>
      </c>
      <c r="E161" s="12"/>
      <c r="F161" s="8">
        <v>25000</v>
      </c>
      <c r="G161" s="12"/>
      <c r="H161" s="8">
        <f t="shared" si="18"/>
        <v>25000</v>
      </c>
      <c r="I161" s="163"/>
    </row>
    <row r="162" spans="1:15" ht="23.25">
      <c r="A162" s="77" t="s">
        <v>347</v>
      </c>
      <c r="B162" s="152" t="s">
        <v>2</v>
      </c>
      <c r="C162" s="153" t="s">
        <v>464</v>
      </c>
      <c r="D162" s="17">
        <f t="shared" ref="D162:G164" si="30">D163</f>
        <v>20000</v>
      </c>
      <c r="E162" s="17"/>
      <c r="F162" s="17">
        <f t="shared" si="17"/>
        <v>20000</v>
      </c>
      <c r="G162" s="17">
        <f t="shared" si="30"/>
        <v>0</v>
      </c>
      <c r="H162" s="17">
        <f t="shared" si="18"/>
        <v>20000</v>
      </c>
      <c r="I162" s="147"/>
    </row>
    <row r="163" spans="1:15" s="37" customFormat="1" hidden="1">
      <c r="A163" s="14" t="s">
        <v>133</v>
      </c>
      <c r="B163" s="15" t="s">
        <v>2</v>
      </c>
      <c r="C163" s="16" t="s">
        <v>190</v>
      </c>
      <c r="D163" s="12">
        <f t="shared" si="30"/>
        <v>20000</v>
      </c>
      <c r="E163" s="12"/>
      <c r="F163" s="17">
        <f t="shared" si="17"/>
        <v>20000</v>
      </c>
      <c r="G163" s="12">
        <f t="shared" si="30"/>
        <v>0</v>
      </c>
      <c r="H163" s="17">
        <f t="shared" si="18"/>
        <v>20000</v>
      </c>
      <c r="I163" s="163"/>
    </row>
    <row r="164" spans="1:15" s="37" customFormat="1" hidden="1">
      <c r="A164" s="14" t="s">
        <v>147</v>
      </c>
      <c r="B164" s="15" t="s">
        <v>2</v>
      </c>
      <c r="C164" s="16" t="s">
        <v>191</v>
      </c>
      <c r="D164" s="12">
        <f t="shared" si="30"/>
        <v>20000</v>
      </c>
      <c r="E164" s="12"/>
      <c r="F164" s="17">
        <f t="shared" si="17"/>
        <v>20000</v>
      </c>
      <c r="G164" s="12">
        <f t="shared" si="30"/>
        <v>0</v>
      </c>
      <c r="H164" s="17">
        <f t="shared" si="18"/>
        <v>20000</v>
      </c>
      <c r="I164" s="163"/>
    </row>
    <row r="165" spans="1:15" s="37" customFormat="1">
      <c r="A165" s="14" t="s">
        <v>155</v>
      </c>
      <c r="B165" s="15" t="s">
        <v>2</v>
      </c>
      <c r="C165" s="16" t="s">
        <v>465</v>
      </c>
      <c r="D165" s="12">
        <v>20000</v>
      </c>
      <c r="E165" s="12"/>
      <c r="F165" s="8">
        <f t="shared" si="17"/>
        <v>20000</v>
      </c>
      <c r="G165" s="12"/>
      <c r="H165" s="8">
        <f t="shared" si="18"/>
        <v>20000</v>
      </c>
      <c r="I165" s="163"/>
    </row>
    <row r="166" spans="1:15" s="32" customFormat="1" hidden="1">
      <c r="A166" s="174" t="s">
        <v>185</v>
      </c>
      <c r="B166" s="178" t="s">
        <v>2</v>
      </c>
      <c r="C166" s="179" t="s">
        <v>192</v>
      </c>
      <c r="D166" s="176">
        <f>D167</f>
        <v>0</v>
      </c>
      <c r="E166" s="176"/>
      <c r="F166" s="17">
        <f t="shared" si="17"/>
        <v>0</v>
      </c>
      <c r="G166" s="176">
        <f>G167</f>
        <v>0</v>
      </c>
      <c r="H166" s="17">
        <f t="shared" si="18"/>
        <v>0</v>
      </c>
      <c r="I166" s="165"/>
    </row>
    <row r="167" spans="1:15" s="32" customFormat="1" hidden="1">
      <c r="A167" s="49" t="s">
        <v>157</v>
      </c>
      <c r="B167" s="50"/>
      <c r="C167" s="48" t="s">
        <v>251</v>
      </c>
      <c r="D167" s="33">
        <f>D168</f>
        <v>0</v>
      </c>
      <c r="E167" s="33"/>
      <c r="F167" s="17">
        <f t="shared" si="17"/>
        <v>0</v>
      </c>
      <c r="G167" s="33">
        <f>G168</f>
        <v>0</v>
      </c>
      <c r="H167" s="17">
        <f t="shared" si="18"/>
        <v>0</v>
      </c>
      <c r="I167" s="165"/>
    </row>
    <row r="168" spans="1:15" s="32" customFormat="1" hidden="1">
      <c r="A168" s="49" t="s">
        <v>174</v>
      </c>
      <c r="B168" s="50"/>
      <c r="C168" s="48" t="s">
        <v>252</v>
      </c>
      <c r="D168" s="33">
        <v>0</v>
      </c>
      <c r="E168" s="33"/>
      <c r="F168" s="17">
        <f t="shared" si="17"/>
        <v>0</v>
      </c>
      <c r="G168" s="33">
        <v>0</v>
      </c>
      <c r="H168" s="17">
        <f t="shared" si="18"/>
        <v>0</v>
      </c>
      <c r="I168" s="165"/>
    </row>
    <row r="169" spans="1:15" s="231" customFormat="1">
      <c r="A169" s="183" t="s">
        <v>496</v>
      </c>
      <c r="B169" s="71"/>
      <c r="C169" s="185" t="s">
        <v>468</v>
      </c>
      <c r="D169" s="29">
        <f>D170</f>
        <v>3710</v>
      </c>
      <c r="E169" s="29">
        <f>E172</f>
        <v>860.99</v>
      </c>
      <c r="F169" s="29">
        <f>F171+F172</f>
        <v>49919.360000000001</v>
      </c>
      <c r="G169" s="29">
        <f>G170</f>
        <v>0</v>
      </c>
      <c r="H169" s="17">
        <f t="shared" si="18"/>
        <v>49919.360000000001</v>
      </c>
      <c r="I169" s="161"/>
      <c r="J169" s="25"/>
      <c r="K169" s="25"/>
      <c r="L169" s="25"/>
      <c r="M169" s="25"/>
      <c r="N169" s="25"/>
      <c r="O169" s="25"/>
    </row>
    <row r="170" spans="1:15" s="37" customFormat="1" hidden="1">
      <c r="A170" s="14" t="s">
        <v>133</v>
      </c>
      <c r="B170" s="71"/>
      <c r="C170" s="242" t="s">
        <v>220</v>
      </c>
      <c r="D170" s="28">
        <f>D172</f>
        <v>3710</v>
      </c>
      <c r="E170" s="28"/>
      <c r="F170" s="29">
        <f t="shared" si="17"/>
        <v>3710</v>
      </c>
      <c r="G170" s="28">
        <f>G172</f>
        <v>0</v>
      </c>
      <c r="H170" s="17">
        <f t="shared" si="18"/>
        <v>3710</v>
      </c>
      <c r="I170" s="168"/>
      <c r="J170" s="85"/>
      <c r="K170" s="85"/>
      <c r="L170" s="85"/>
      <c r="M170" s="85"/>
      <c r="N170" s="85"/>
      <c r="O170" s="85"/>
    </row>
    <row r="171" spans="1:15" s="240" customFormat="1">
      <c r="A171" s="70" t="s">
        <v>174</v>
      </c>
      <c r="B171" s="71"/>
      <c r="C171" s="242" t="s">
        <v>492</v>
      </c>
      <c r="D171" s="28">
        <v>0</v>
      </c>
      <c r="E171" s="28">
        <v>860.99</v>
      </c>
      <c r="F171" s="44">
        <v>26000</v>
      </c>
      <c r="G171" s="28"/>
      <c r="H171" s="8">
        <f t="shared" si="18"/>
        <v>26000</v>
      </c>
      <c r="I171" s="168"/>
      <c r="J171" s="85"/>
      <c r="K171" s="85"/>
      <c r="L171" s="85"/>
      <c r="M171" s="85"/>
      <c r="N171" s="85"/>
      <c r="O171" s="85"/>
    </row>
    <row r="172" spans="1:15" s="240" customFormat="1">
      <c r="A172" s="70" t="s">
        <v>158</v>
      </c>
      <c r="B172" s="71"/>
      <c r="C172" s="242" t="s">
        <v>469</v>
      </c>
      <c r="D172" s="28">
        <v>3710</v>
      </c>
      <c r="E172" s="28">
        <v>860.99</v>
      </c>
      <c r="F172" s="44">
        <v>23919.360000000001</v>
      </c>
      <c r="G172" s="28"/>
      <c r="H172" s="8">
        <f t="shared" si="18"/>
        <v>23919.360000000001</v>
      </c>
      <c r="I172" s="168"/>
      <c r="J172" s="85"/>
      <c r="K172" s="85"/>
      <c r="L172" s="85"/>
      <c r="M172" s="85"/>
      <c r="N172" s="85"/>
      <c r="O172" s="85"/>
    </row>
    <row r="173" spans="1:15" s="231" customFormat="1" hidden="1">
      <c r="A173" s="234"/>
      <c r="B173" s="237"/>
      <c r="C173" s="236"/>
      <c r="D173" s="229"/>
      <c r="E173" s="229"/>
      <c r="F173" s="229">
        <f t="shared" si="17"/>
        <v>0</v>
      </c>
      <c r="G173" s="229"/>
      <c r="H173" s="17">
        <f t="shared" si="18"/>
        <v>0</v>
      </c>
      <c r="I173" s="238"/>
    </row>
    <row r="174" spans="1:15" s="231" customFormat="1" hidden="1">
      <c r="A174" s="235"/>
      <c r="B174" s="239"/>
      <c r="C174" s="241"/>
      <c r="D174" s="230"/>
      <c r="E174" s="230"/>
      <c r="F174" s="229">
        <f t="shared" si="17"/>
        <v>0</v>
      </c>
      <c r="G174" s="230"/>
      <c r="H174" s="17">
        <f t="shared" si="18"/>
        <v>0</v>
      </c>
      <c r="I174" s="238"/>
    </row>
    <row r="175" spans="1:15" s="231" customFormat="1" hidden="1">
      <c r="A175" s="235"/>
      <c r="B175" s="239"/>
      <c r="C175" s="241"/>
      <c r="D175" s="230"/>
      <c r="E175" s="230"/>
      <c r="F175" s="229">
        <f t="shared" si="17"/>
        <v>0</v>
      </c>
      <c r="G175" s="230"/>
      <c r="H175" s="17">
        <f t="shared" si="18"/>
        <v>0</v>
      </c>
      <c r="I175" s="238"/>
    </row>
    <row r="176" spans="1:15" s="25" customFormat="1">
      <c r="A176" s="183" t="s">
        <v>348</v>
      </c>
      <c r="B176" s="71"/>
      <c r="C176" s="185" t="s">
        <v>466</v>
      </c>
      <c r="D176" s="29">
        <f>D177</f>
        <v>2000</v>
      </c>
      <c r="E176" s="29">
        <f t="shared" ref="E176:F176" si="31">E177</f>
        <v>0</v>
      </c>
      <c r="F176" s="29">
        <f t="shared" si="31"/>
        <v>2000</v>
      </c>
      <c r="G176" s="29">
        <f>G177</f>
        <v>820.48</v>
      </c>
      <c r="H176" s="17">
        <f t="shared" si="18"/>
        <v>1179.52</v>
      </c>
      <c r="I176" s="161"/>
    </row>
    <row r="177" spans="1:9" s="37" customFormat="1" hidden="1">
      <c r="A177" s="14" t="s">
        <v>133</v>
      </c>
      <c r="B177" s="15"/>
      <c r="C177" s="43" t="s">
        <v>220</v>
      </c>
      <c r="D177" s="12">
        <f>D178</f>
        <v>2000</v>
      </c>
      <c r="E177" s="12"/>
      <c r="F177" s="17">
        <f t="shared" ref="F177:F180" si="32">D177+E177</f>
        <v>2000</v>
      </c>
      <c r="G177" s="12">
        <f>G178</f>
        <v>820.48</v>
      </c>
      <c r="H177" s="17">
        <f t="shared" si="18"/>
        <v>1179.52</v>
      </c>
      <c r="I177" s="163"/>
    </row>
    <row r="178" spans="1:9" s="37" customFormat="1">
      <c r="A178" s="14" t="s">
        <v>156</v>
      </c>
      <c r="B178" s="15"/>
      <c r="C178" s="43" t="s">
        <v>467</v>
      </c>
      <c r="D178" s="12">
        <v>2000</v>
      </c>
      <c r="E178" s="12">
        <v>2000</v>
      </c>
      <c r="F178" s="12">
        <v>2000</v>
      </c>
      <c r="G178" s="12">
        <v>820.48</v>
      </c>
      <c r="H178" s="8">
        <f t="shared" si="18"/>
        <v>1179.52</v>
      </c>
      <c r="I178" s="163"/>
    </row>
    <row r="179" spans="1:9" s="25" customFormat="1">
      <c r="A179" s="183" t="s">
        <v>185</v>
      </c>
      <c r="B179" s="71"/>
      <c r="C179" s="185" t="s">
        <v>470</v>
      </c>
      <c r="D179" s="29">
        <f>D180</f>
        <v>30000</v>
      </c>
      <c r="E179" s="29">
        <f>E180</f>
        <v>0</v>
      </c>
      <c r="F179" s="29">
        <f t="shared" si="32"/>
        <v>30000</v>
      </c>
      <c r="G179" s="29">
        <f>G180</f>
        <v>12663.5</v>
      </c>
      <c r="H179" s="17">
        <f t="shared" si="18"/>
        <v>17336.5</v>
      </c>
      <c r="I179" s="161"/>
    </row>
    <row r="180" spans="1:9" s="85" customFormat="1" hidden="1">
      <c r="A180" s="70" t="s">
        <v>133</v>
      </c>
      <c r="B180" s="71"/>
      <c r="C180" s="242" t="s">
        <v>220</v>
      </c>
      <c r="D180" s="28">
        <f>D181</f>
        <v>30000</v>
      </c>
      <c r="E180" s="28"/>
      <c r="F180" s="29">
        <f t="shared" si="32"/>
        <v>30000</v>
      </c>
      <c r="G180" s="28">
        <f>G181</f>
        <v>12663.5</v>
      </c>
      <c r="H180" s="17">
        <f t="shared" si="18"/>
        <v>17336.5</v>
      </c>
      <c r="I180" s="168"/>
    </row>
    <row r="181" spans="1:9" s="85" customFormat="1">
      <c r="A181" s="70" t="s">
        <v>158</v>
      </c>
      <c r="B181" s="71"/>
      <c r="C181" s="242" t="s">
        <v>471</v>
      </c>
      <c r="D181" s="28">
        <v>30000</v>
      </c>
      <c r="E181" s="28">
        <v>30000</v>
      </c>
      <c r="F181" s="28">
        <v>30000</v>
      </c>
      <c r="G181" s="28">
        <f>12663.5</f>
        <v>12663.5</v>
      </c>
      <c r="H181" s="8">
        <f t="shared" ref="H181" si="33">F181-G181</f>
        <v>17336.5</v>
      </c>
      <c r="I181" s="168"/>
    </row>
    <row r="182" spans="1:9" ht="23.25" customHeight="1">
      <c r="A182" s="322" t="s">
        <v>349</v>
      </c>
      <c r="B182" s="323"/>
      <c r="C182" s="323"/>
      <c r="D182" s="323"/>
      <c r="E182" s="323"/>
      <c r="F182" s="323"/>
      <c r="G182" s="323"/>
      <c r="H182" s="324"/>
      <c r="I182" s="147"/>
    </row>
    <row r="183" spans="1:9" s="25" customFormat="1">
      <c r="A183" s="183" t="s">
        <v>519</v>
      </c>
      <c r="B183" s="184" t="s">
        <v>2</v>
      </c>
      <c r="C183" s="185" t="s">
        <v>520</v>
      </c>
      <c r="D183" s="29">
        <v>0</v>
      </c>
      <c r="E183" s="29">
        <f>E186+E187</f>
        <v>80700</v>
      </c>
      <c r="F183" s="29">
        <f>F186+F187</f>
        <v>3630</v>
      </c>
      <c r="G183" s="29">
        <f>G184</f>
        <v>0</v>
      </c>
      <c r="H183" s="29">
        <f t="shared" ref="H183:H187" si="34">F183-G183</f>
        <v>3630</v>
      </c>
      <c r="I183" s="295">
        <f>61240-G183-G188</f>
        <v>61240</v>
      </c>
    </row>
    <row r="184" spans="1:9" s="85" customFormat="1" hidden="1">
      <c r="A184" s="70" t="s">
        <v>133</v>
      </c>
      <c r="B184" s="71" t="s">
        <v>2</v>
      </c>
      <c r="C184" s="72" t="s">
        <v>165</v>
      </c>
      <c r="D184" s="28">
        <f>D185</f>
        <v>0</v>
      </c>
      <c r="E184" s="28"/>
      <c r="F184" s="29">
        <f t="shared" ref="F184:F185" si="35">E184+D184</f>
        <v>0</v>
      </c>
      <c r="G184" s="28">
        <f>G185</f>
        <v>0</v>
      </c>
      <c r="H184" s="29">
        <f t="shared" si="34"/>
        <v>0</v>
      </c>
      <c r="I184" s="168"/>
    </row>
    <row r="185" spans="1:9" s="85" customFormat="1" ht="23.25" hidden="1">
      <c r="A185" s="70" t="s">
        <v>135</v>
      </c>
      <c r="B185" s="71" t="s">
        <v>2</v>
      </c>
      <c r="C185" s="72" t="s">
        <v>166</v>
      </c>
      <c r="D185" s="28">
        <f>D186+D187</f>
        <v>0</v>
      </c>
      <c r="E185" s="28"/>
      <c r="F185" s="29">
        <f t="shared" si="35"/>
        <v>0</v>
      </c>
      <c r="G185" s="28">
        <f>G186+G187</f>
        <v>0</v>
      </c>
      <c r="H185" s="29">
        <f t="shared" si="34"/>
        <v>0</v>
      </c>
      <c r="I185" s="168"/>
    </row>
    <row r="186" spans="1:9" s="85" customFormat="1">
      <c r="A186" s="70" t="s">
        <v>137</v>
      </c>
      <c r="B186" s="71" t="s">
        <v>2</v>
      </c>
      <c r="C186" s="72" t="s">
        <v>521</v>
      </c>
      <c r="D186" s="28">
        <v>0</v>
      </c>
      <c r="E186" s="28">
        <v>61982</v>
      </c>
      <c r="F186" s="28">
        <v>2788</v>
      </c>
      <c r="G186" s="28">
        <v>0</v>
      </c>
      <c r="H186" s="44">
        <f t="shared" si="34"/>
        <v>2788</v>
      </c>
      <c r="I186" s="168"/>
    </row>
    <row r="187" spans="1:9" s="85" customFormat="1">
      <c r="A187" s="70" t="s">
        <v>138</v>
      </c>
      <c r="B187" s="71" t="s">
        <v>2</v>
      </c>
      <c r="C187" s="72" t="s">
        <v>522</v>
      </c>
      <c r="D187" s="28">
        <v>0</v>
      </c>
      <c r="E187" s="28">
        <v>18718</v>
      </c>
      <c r="F187" s="28">
        <v>842</v>
      </c>
      <c r="G187" s="28">
        <v>0</v>
      </c>
      <c r="H187" s="44">
        <f t="shared" si="34"/>
        <v>842</v>
      </c>
      <c r="I187" s="168"/>
    </row>
    <row r="188" spans="1:9" s="36" customFormat="1">
      <c r="A188" s="77" t="s">
        <v>193</v>
      </c>
      <c r="B188" s="152" t="s">
        <v>2</v>
      </c>
      <c r="C188" s="153" t="s">
        <v>472</v>
      </c>
      <c r="D188" s="17">
        <f>D191+D192</f>
        <v>40000</v>
      </c>
      <c r="E188" s="17">
        <f t="shared" ref="E188:F188" si="36">E191+E192</f>
        <v>40000</v>
      </c>
      <c r="F188" s="17">
        <f t="shared" si="36"/>
        <v>40000</v>
      </c>
      <c r="G188" s="17">
        <f>G189</f>
        <v>0</v>
      </c>
      <c r="H188" s="17">
        <f>D188-G188</f>
        <v>40000</v>
      </c>
      <c r="I188" s="158"/>
    </row>
    <row r="189" spans="1:9" s="36" customFormat="1" hidden="1">
      <c r="A189" s="14" t="s">
        <v>157</v>
      </c>
      <c r="B189" s="15" t="s">
        <v>2</v>
      </c>
      <c r="C189" s="16" t="s">
        <v>194</v>
      </c>
      <c r="D189" s="12">
        <f>D190+D192</f>
        <v>20000</v>
      </c>
      <c r="E189" s="12"/>
      <c r="F189" s="17">
        <f t="shared" ref="F189:F190" si="37">D189+E189</f>
        <v>20000</v>
      </c>
      <c r="G189" s="12">
        <f>G192+G190</f>
        <v>0</v>
      </c>
      <c r="H189" s="17">
        <f t="shared" ref="H189:H192" si="38">D189-G189</f>
        <v>20000</v>
      </c>
      <c r="I189" s="158"/>
    </row>
    <row r="190" spans="1:9" s="36" customFormat="1" hidden="1">
      <c r="A190" s="14" t="s">
        <v>174</v>
      </c>
      <c r="B190" s="15"/>
      <c r="C190" s="16" t="s">
        <v>232</v>
      </c>
      <c r="D190" s="12">
        <v>0</v>
      </c>
      <c r="E190" s="12"/>
      <c r="F190" s="17">
        <f t="shared" si="37"/>
        <v>0</v>
      </c>
      <c r="G190" s="12">
        <v>0</v>
      </c>
      <c r="H190" s="17">
        <f t="shared" si="38"/>
        <v>0</v>
      </c>
      <c r="I190" s="158"/>
    </row>
    <row r="191" spans="1:9" s="36" customFormat="1">
      <c r="A191" s="14" t="s">
        <v>158</v>
      </c>
      <c r="B191" s="15" t="s">
        <v>2</v>
      </c>
      <c r="C191" s="16" t="s">
        <v>473</v>
      </c>
      <c r="D191" s="12">
        <v>20000</v>
      </c>
      <c r="E191" s="12">
        <v>20000</v>
      </c>
      <c r="F191" s="12">
        <v>20000</v>
      </c>
      <c r="G191" s="12">
        <v>0</v>
      </c>
      <c r="H191" s="8">
        <f t="shared" si="38"/>
        <v>20000</v>
      </c>
      <c r="I191" s="158"/>
    </row>
    <row r="192" spans="1:9" s="36" customFormat="1">
      <c r="A192" s="14" t="s">
        <v>158</v>
      </c>
      <c r="B192" s="15" t="s">
        <v>2</v>
      </c>
      <c r="C192" s="16" t="s">
        <v>474</v>
      </c>
      <c r="D192" s="12">
        <v>20000</v>
      </c>
      <c r="E192" s="12">
        <v>20000</v>
      </c>
      <c r="F192" s="12">
        <v>20000</v>
      </c>
      <c r="G192" s="12">
        <v>0</v>
      </c>
      <c r="H192" s="8">
        <f t="shared" si="38"/>
        <v>20000</v>
      </c>
      <c r="I192" s="158"/>
    </row>
    <row r="193" spans="1:9" s="36" customFormat="1">
      <c r="A193" s="77" t="s">
        <v>193</v>
      </c>
      <c r="B193" s="152" t="s">
        <v>2</v>
      </c>
      <c r="C193" s="153" t="s">
        <v>472</v>
      </c>
      <c r="D193" s="17">
        <f>D196+D197</f>
        <v>40000</v>
      </c>
      <c r="E193" s="17">
        <f t="shared" ref="E193" si="39">E196+E197</f>
        <v>40000</v>
      </c>
      <c r="F193" s="17">
        <f>F196+F197</f>
        <v>40000</v>
      </c>
      <c r="G193" s="17">
        <f>G194</f>
        <v>0</v>
      </c>
      <c r="H193" s="17">
        <f>D193-G193</f>
        <v>40000</v>
      </c>
      <c r="I193" s="158"/>
    </row>
    <row r="194" spans="1:9" s="36" customFormat="1" hidden="1">
      <c r="A194" s="14" t="s">
        <v>157</v>
      </c>
      <c r="B194" s="15" t="s">
        <v>2</v>
      </c>
      <c r="C194" s="16" t="s">
        <v>194</v>
      </c>
      <c r="D194" s="12">
        <f>D195+D197</f>
        <v>20000</v>
      </c>
      <c r="E194" s="12"/>
      <c r="F194" s="17">
        <f t="shared" ref="F194:F200" si="40">D194+E194</f>
        <v>20000</v>
      </c>
      <c r="G194" s="12">
        <f>G197+G195</f>
        <v>0</v>
      </c>
      <c r="H194" s="17">
        <f t="shared" ref="H194:H217" si="41">D194-G194</f>
        <v>20000</v>
      </c>
      <c r="I194" s="158"/>
    </row>
    <row r="195" spans="1:9" s="36" customFormat="1" hidden="1">
      <c r="A195" s="14" t="s">
        <v>174</v>
      </c>
      <c r="B195" s="15"/>
      <c r="C195" s="16" t="s">
        <v>232</v>
      </c>
      <c r="D195" s="12">
        <v>0</v>
      </c>
      <c r="E195" s="12"/>
      <c r="F195" s="17">
        <f t="shared" si="40"/>
        <v>0</v>
      </c>
      <c r="G195" s="12">
        <v>0</v>
      </c>
      <c r="H195" s="17">
        <f t="shared" si="41"/>
        <v>0</v>
      </c>
      <c r="I195" s="158"/>
    </row>
    <row r="196" spans="1:9" s="36" customFormat="1">
      <c r="A196" s="14" t="s">
        <v>156</v>
      </c>
      <c r="B196" s="15" t="s">
        <v>2</v>
      </c>
      <c r="C196" s="16" t="s">
        <v>473</v>
      </c>
      <c r="D196" s="12">
        <v>20000</v>
      </c>
      <c r="E196" s="12">
        <v>20000</v>
      </c>
      <c r="F196" s="12">
        <v>20000</v>
      </c>
      <c r="G196" s="12">
        <v>0</v>
      </c>
      <c r="H196" s="8">
        <f t="shared" si="41"/>
        <v>20000</v>
      </c>
      <c r="I196" s="158"/>
    </row>
    <row r="197" spans="1:9" s="36" customFormat="1">
      <c r="A197" s="14" t="s">
        <v>158</v>
      </c>
      <c r="B197" s="15" t="s">
        <v>2</v>
      </c>
      <c r="C197" s="16" t="s">
        <v>474</v>
      </c>
      <c r="D197" s="12">
        <v>20000</v>
      </c>
      <c r="E197" s="12">
        <v>20000</v>
      </c>
      <c r="F197" s="12">
        <v>20000</v>
      </c>
      <c r="G197" s="12">
        <v>0</v>
      </c>
      <c r="H197" s="8">
        <f t="shared" si="41"/>
        <v>20000</v>
      </c>
      <c r="I197" s="158"/>
    </row>
    <row r="198" spans="1:9">
      <c r="A198" s="77" t="s">
        <v>350</v>
      </c>
      <c r="B198" s="152" t="s">
        <v>2</v>
      </c>
      <c r="C198" s="153" t="s">
        <v>475</v>
      </c>
      <c r="D198" s="17">
        <f t="shared" ref="D198:G200" si="42">D199</f>
        <v>24000</v>
      </c>
      <c r="E198" s="17"/>
      <c r="F198" s="17">
        <f t="shared" si="40"/>
        <v>24000</v>
      </c>
      <c r="G198" s="17">
        <f t="shared" si="42"/>
        <v>8000</v>
      </c>
      <c r="H198" s="17">
        <f t="shared" si="41"/>
        <v>16000</v>
      </c>
      <c r="I198" s="147"/>
    </row>
    <row r="199" spans="1:9" s="37" customFormat="1" hidden="1">
      <c r="A199" s="14" t="s">
        <v>133</v>
      </c>
      <c r="B199" s="15" t="s">
        <v>2</v>
      </c>
      <c r="C199" s="16" t="s">
        <v>195</v>
      </c>
      <c r="D199" s="12">
        <f t="shared" si="42"/>
        <v>24000</v>
      </c>
      <c r="E199" s="12"/>
      <c r="F199" s="17">
        <f t="shared" si="40"/>
        <v>24000</v>
      </c>
      <c r="G199" s="12">
        <f t="shared" si="42"/>
        <v>8000</v>
      </c>
      <c r="H199" s="17">
        <f t="shared" si="41"/>
        <v>16000</v>
      </c>
      <c r="I199" s="163"/>
    </row>
    <row r="200" spans="1:9" s="37" customFormat="1" hidden="1">
      <c r="A200" s="14" t="s">
        <v>196</v>
      </c>
      <c r="B200" s="15" t="s">
        <v>2</v>
      </c>
      <c r="C200" s="16" t="s">
        <v>197</v>
      </c>
      <c r="D200" s="12">
        <f t="shared" si="42"/>
        <v>24000</v>
      </c>
      <c r="E200" s="12"/>
      <c r="F200" s="17">
        <f t="shared" si="40"/>
        <v>24000</v>
      </c>
      <c r="G200" s="12">
        <f t="shared" si="42"/>
        <v>8000</v>
      </c>
      <c r="H200" s="17">
        <f t="shared" si="41"/>
        <v>16000</v>
      </c>
      <c r="I200" s="163"/>
    </row>
    <row r="201" spans="1:9" s="37" customFormat="1" ht="23.25">
      <c r="A201" s="14" t="s">
        <v>198</v>
      </c>
      <c r="B201" s="15" t="s">
        <v>2</v>
      </c>
      <c r="C201" s="16" t="s">
        <v>476</v>
      </c>
      <c r="D201" s="12">
        <v>24000</v>
      </c>
      <c r="E201" s="12">
        <v>24000</v>
      </c>
      <c r="F201" s="12">
        <v>24000</v>
      </c>
      <c r="G201" s="12">
        <v>8000</v>
      </c>
      <c r="H201" s="8">
        <f t="shared" si="41"/>
        <v>16000</v>
      </c>
      <c r="I201" s="163"/>
    </row>
    <row r="202" spans="1:9" s="244" customFormat="1">
      <c r="A202" s="183" t="s">
        <v>413</v>
      </c>
      <c r="B202" s="184" t="s">
        <v>2</v>
      </c>
      <c r="C202" s="185" t="s">
        <v>477</v>
      </c>
      <c r="D202" s="29">
        <f>D209</f>
        <v>10000</v>
      </c>
      <c r="E202" s="29">
        <f>E209</f>
        <v>10000</v>
      </c>
      <c r="F202" s="29">
        <f>F207+F209</f>
        <v>10000</v>
      </c>
      <c r="G202" s="29">
        <f>G203</f>
        <v>0</v>
      </c>
      <c r="H202" s="29">
        <f t="shared" si="41"/>
        <v>10000</v>
      </c>
      <c r="I202" s="243"/>
    </row>
    <row r="203" spans="1:9" s="244" customFormat="1" hidden="1">
      <c r="A203" s="70" t="s">
        <v>157</v>
      </c>
      <c r="B203" s="71" t="s">
        <v>2</v>
      </c>
      <c r="C203" s="72" t="s">
        <v>195</v>
      </c>
      <c r="D203" s="28">
        <f>D204+D210</f>
        <v>10000</v>
      </c>
      <c r="E203" s="28"/>
      <c r="F203" s="29">
        <f t="shared" ref="F203:F206" si="43">D203+E203</f>
        <v>10000</v>
      </c>
      <c r="G203" s="28">
        <f>G210+G204</f>
        <v>0</v>
      </c>
      <c r="H203" s="29">
        <f t="shared" si="41"/>
        <v>10000</v>
      </c>
      <c r="I203" s="243"/>
    </row>
    <row r="204" spans="1:9" s="244" customFormat="1" hidden="1">
      <c r="A204" s="70" t="s">
        <v>174</v>
      </c>
      <c r="B204" s="71"/>
      <c r="C204" s="72" t="s">
        <v>197</v>
      </c>
      <c r="D204" s="28">
        <v>0</v>
      </c>
      <c r="E204" s="28"/>
      <c r="F204" s="29">
        <f t="shared" si="43"/>
        <v>0</v>
      </c>
      <c r="G204" s="28">
        <v>0</v>
      </c>
      <c r="H204" s="29">
        <f t="shared" si="41"/>
        <v>0</v>
      </c>
      <c r="I204" s="243"/>
    </row>
    <row r="205" spans="1:9" s="244" customFormat="1" hidden="1">
      <c r="A205" s="70" t="s">
        <v>157</v>
      </c>
      <c r="B205" s="71" t="s">
        <v>2</v>
      </c>
      <c r="C205" s="72" t="s">
        <v>194</v>
      </c>
      <c r="D205" s="28">
        <f>D206+D209</f>
        <v>10000</v>
      </c>
      <c r="E205" s="28"/>
      <c r="F205" s="29">
        <f t="shared" si="43"/>
        <v>10000</v>
      </c>
      <c r="G205" s="28">
        <f>G209+G206</f>
        <v>0</v>
      </c>
      <c r="H205" s="29">
        <f t="shared" si="41"/>
        <v>10000</v>
      </c>
      <c r="I205" s="243"/>
    </row>
    <row r="206" spans="1:9" s="244" customFormat="1" hidden="1">
      <c r="A206" s="70" t="s">
        <v>174</v>
      </c>
      <c r="B206" s="71"/>
      <c r="C206" s="72" t="s">
        <v>232</v>
      </c>
      <c r="D206" s="28">
        <v>0</v>
      </c>
      <c r="E206" s="28"/>
      <c r="F206" s="29">
        <f t="shared" si="43"/>
        <v>0</v>
      </c>
      <c r="G206" s="28">
        <v>0</v>
      </c>
      <c r="H206" s="29">
        <f t="shared" si="41"/>
        <v>0</v>
      </c>
      <c r="I206" s="243"/>
    </row>
    <row r="207" spans="1:9" s="244" customFormat="1">
      <c r="A207" s="273" t="s">
        <v>133</v>
      </c>
      <c r="B207" s="296" t="s">
        <v>2</v>
      </c>
      <c r="C207" s="242" t="s">
        <v>523</v>
      </c>
      <c r="D207" s="44">
        <v>0</v>
      </c>
      <c r="E207" s="44">
        <f>E214</f>
        <v>0</v>
      </c>
      <c r="F207" s="44">
        <f>F208</f>
        <v>5400</v>
      </c>
      <c r="G207" s="44">
        <f>G208</f>
        <v>0</v>
      </c>
      <c r="H207" s="44">
        <v>5400</v>
      </c>
      <c r="I207" s="243"/>
    </row>
    <row r="208" spans="1:9" s="244" customFormat="1">
      <c r="A208" s="70" t="s">
        <v>156</v>
      </c>
      <c r="B208" s="71" t="s">
        <v>2</v>
      </c>
      <c r="C208" s="72" t="s">
        <v>524</v>
      </c>
      <c r="D208" s="28">
        <v>0</v>
      </c>
      <c r="E208" s="28">
        <v>20000</v>
      </c>
      <c r="F208" s="28">
        <v>5400</v>
      </c>
      <c r="G208" s="28">
        <v>0</v>
      </c>
      <c r="H208" s="44">
        <v>5400</v>
      </c>
      <c r="I208" s="243"/>
    </row>
    <row r="209" spans="1:10" s="244" customFormat="1">
      <c r="A209" s="70" t="s">
        <v>158</v>
      </c>
      <c r="B209" s="71" t="s">
        <v>2</v>
      </c>
      <c r="C209" s="72" t="s">
        <v>478</v>
      </c>
      <c r="D209" s="28">
        <f>D210</f>
        <v>10000</v>
      </c>
      <c r="E209" s="28">
        <f t="shared" ref="E209:F209" si="44">E210</f>
        <v>10000</v>
      </c>
      <c r="F209" s="28">
        <f t="shared" si="44"/>
        <v>4600</v>
      </c>
      <c r="G209" s="28">
        <v>0</v>
      </c>
      <c r="H209" s="44">
        <f>H210</f>
        <v>4600</v>
      </c>
      <c r="I209" s="243"/>
    </row>
    <row r="210" spans="1:10" s="244" customFormat="1" ht="14.25" customHeight="1">
      <c r="A210" s="70" t="s">
        <v>174</v>
      </c>
      <c r="B210" s="71" t="s">
        <v>2</v>
      </c>
      <c r="C210" s="242" t="s">
        <v>479</v>
      </c>
      <c r="D210" s="28">
        <v>10000</v>
      </c>
      <c r="E210" s="28">
        <v>10000</v>
      </c>
      <c r="F210" s="28">
        <v>4600</v>
      </c>
      <c r="G210" s="28">
        <v>0</v>
      </c>
      <c r="H210" s="44">
        <v>4600</v>
      </c>
      <c r="I210" s="243"/>
    </row>
    <row r="211" spans="1:10" s="37" customFormat="1" ht="17.25" customHeight="1">
      <c r="A211" s="259" t="s">
        <v>351</v>
      </c>
      <c r="B211" s="259"/>
      <c r="C211" s="48"/>
      <c r="D211" s="259"/>
      <c r="E211" s="259"/>
      <c r="F211" s="259"/>
      <c r="G211" s="259"/>
      <c r="H211" s="17">
        <f t="shared" si="41"/>
        <v>0</v>
      </c>
      <c r="I211" s="163"/>
    </row>
    <row r="212" spans="1:10" s="85" customFormat="1" ht="35.25" customHeight="1">
      <c r="A212" s="183" t="s">
        <v>352</v>
      </c>
      <c r="B212" s="184" t="s">
        <v>2</v>
      </c>
      <c r="C212" s="16" t="s">
        <v>480</v>
      </c>
      <c r="D212" s="29">
        <f t="shared" ref="D212:G212" si="45">D213</f>
        <v>10000</v>
      </c>
      <c r="E212" s="29">
        <f t="shared" si="45"/>
        <v>10000</v>
      </c>
      <c r="F212" s="29">
        <f t="shared" si="45"/>
        <v>40000</v>
      </c>
      <c r="G212" s="29">
        <f t="shared" si="45"/>
        <v>0</v>
      </c>
      <c r="H212" s="17">
        <f t="shared" si="41"/>
        <v>10000</v>
      </c>
      <c r="I212" s="168"/>
    </row>
    <row r="213" spans="1:10" s="85" customFormat="1" ht="17.25" customHeight="1">
      <c r="A213" s="70" t="s">
        <v>151</v>
      </c>
      <c r="B213" s="186" t="s">
        <v>2</v>
      </c>
      <c r="C213" s="16" t="s">
        <v>481</v>
      </c>
      <c r="D213" s="28">
        <v>10000</v>
      </c>
      <c r="E213" s="28">
        <v>10000</v>
      </c>
      <c r="F213" s="28">
        <v>40000</v>
      </c>
      <c r="G213" s="28"/>
      <c r="H213" s="8">
        <f t="shared" si="41"/>
        <v>10000</v>
      </c>
      <c r="I213" s="168"/>
    </row>
    <row r="214" spans="1:10" ht="59.25" customHeight="1">
      <c r="A214" s="77" t="s">
        <v>353</v>
      </c>
      <c r="B214" s="152" t="s">
        <v>2</v>
      </c>
      <c r="C214" s="16" t="s">
        <v>483</v>
      </c>
      <c r="D214" s="17">
        <f t="shared" ref="D214:G216" si="46">D215</f>
        <v>222149</v>
      </c>
      <c r="E214" s="17"/>
      <c r="F214" s="29">
        <f t="shared" ref="F214:F216" si="47">D214+E214</f>
        <v>222149</v>
      </c>
      <c r="G214" s="17">
        <f t="shared" si="46"/>
        <v>111073</v>
      </c>
      <c r="H214" s="17">
        <f t="shared" si="41"/>
        <v>111076</v>
      </c>
      <c r="I214" s="147"/>
    </row>
    <row r="215" spans="1:10" s="37" customFormat="1" hidden="1">
      <c r="A215" s="14" t="s">
        <v>133</v>
      </c>
      <c r="B215" s="15" t="s">
        <v>2</v>
      </c>
      <c r="C215" s="259"/>
      <c r="D215" s="12">
        <f t="shared" si="46"/>
        <v>222149</v>
      </c>
      <c r="E215" s="12"/>
      <c r="F215" s="29">
        <f t="shared" si="47"/>
        <v>222149</v>
      </c>
      <c r="G215" s="12">
        <f t="shared" si="46"/>
        <v>111073</v>
      </c>
      <c r="H215" s="17">
        <f t="shared" si="41"/>
        <v>111076</v>
      </c>
      <c r="I215" s="163"/>
    </row>
    <row r="216" spans="1:10" s="37" customFormat="1" hidden="1">
      <c r="A216" s="14" t="s">
        <v>199</v>
      </c>
      <c r="B216" s="15" t="s">
        <v>2</v>
      </c>
      <c r="C216" s="185" t="s">
        <v>288</v>
      </c>
      <c r="D216" s="12">
        <f t="shared" si="46"/>
        <v>222149</v>
      </c>
      <c r="E216" s="12"/>
      <c r="F216" s="29">
        <f t="shared" si="47"/>
        <v>222149</v>
      </c>
      <c r="G216" s="12">
        <f t="shared" si="46"/>
        <v>111073</v>
      </c>
      <c r="H216" s="17">
        <f t="shared" si="41"/>
        <v>111076</v>
      </c>
      <c r="I216" s="163"/>
    </row>
    <row r="217" spans="1:10" s="37" customFormat="1" ht="23.25">
      <c r="A217" s="14" t="s">
        <v>200</v>
      </c>
      <c r="B217" s="15" t="s">
        <v>2</v>
      </c>
      <c r="C217" s="185" t="s">
        <v>484</v>
      </c>
      <c r="D217" s="12">
        <v>222149</v>
      </c>
      <c r="E217" s="12">
        <v>222149</v>
      </c>
      <c r="F217" s="12">
        <v>222149</v>
      </c>
      <c r="G217" s="12">
        <v>111073</v>
      </c>
      <c r="H217" s="8">
        <f t="shared" si="41"/>
        <v>111076</v>
      </c>
      <c r="I217" s="163"/>
    </row>
    <row r="218" spans="1:10">
      <c r="A218" s="147"/>
      <c r="B218" s="147"/>
      <c r="C218" s="153" t="s">
        <v>482</v>
      </c>
      <c r="D218" s="149"/>
      <c r="E218" s="149"/>
      <c r="F218" s="29">
        <f>D218+E218</f>
        <v>0</v>
      </c>
      <c r="G218" s="147"/>
      <c r="H218" s="147"/>
      <c r="I218" s="147"/>
    </row>
    <row r="219" spans="1:10">
      <c r="A219" s="14" t="s">
        <v>201</v>
      </c>
      <c r="B219" s="15" t="s">
        <v>202</v>
      </c>
      <c r="C219" s="16"/>
      <c r="D219" s="12"/>
      <c r="E219" s="12"/>
      <c r="F219" s="29"/>
      <c r="G219" s="12"/>
      <c r="H219" s="12" t="s">
        <v>204</v>
      </c>
      <c r="I219" s="147"/>
    </row>
    <row r="220" spans="1:10">
      <c r="C220" s="16" t="s">
        <v>203</v>
      </c>
    </row>
    <row r="222" spans="1:10" ht="18">
      <c r="A222" s="145" t="s">
        <v>386</v>
      </c>
      <c r="B222" s="150"/>
      <c r="C222" s="151"/>
      <c r="D222" s="219">
        <f>D223+D228+D233+D240+D256+D259+D265+D268+D273</f>
        <v>2845844</v>
      </c>
      <c r="E222" s="219">
        <f t="shared" ref="E222" si="48">E223+E228+E233+E240+E256+E259+E265+E268+E273</f>
        <v>371464.63</v>
      </c>
      <c r="F222" s="219">
        <f>F223+F228+F233+F240+F256+F259+F265+F268+F273</f>
        <v>2838044</v>
      </c>
      <c r="G222" s="219">
        <f>G223+G228+G233+G240+G256+G259+G265+G268+G273</f>
        <v>502121.83000000007</v>
      </c>
      <c r="H222" s="219">
        <f>H223+H228+H233+H240+H256+H259+H265+H268+H273</f>
        <v>2335922.1700000004</v>
      </c>
      <c r="I222" s="156"/>
      <c r="J222" s="156">
        <f>H222+H281</f>
        <v>3980867.8200000003</v>
      </c>
    </row>
    <row r="223" spans="1:10" ht="36" customHeight="1">
      <c r="A223" s="77" t="s">
        <v>132</v>
      </c>
      <c r="B223" s="152" t="s">
        <v>2</v>
      </c>
      <c r="C223" s="153" t="s">
        <v>414</v>
      </c>
      <c r="D223" s="17">
        <f>D224</f>
        <v>584213</v>
      </c>
      <c r="E223" s="17">
        <f t="shared" ref="E223:F223" si="49">E224</f>
        <v>0</v>
      </c>
      <c r="F223" s="17">
        <f t="shared" si="49"/>
        <v>584213</v>
      </c>
      <c r="G223" s="17">
        <f>G224</f>
        <v>110678.76</v>
      </c>
      <c r="H223" s="17">
        <f>F223-G223</f>
        <v>473534.24</v>
      </c>
      <c r="I223" s="147"/>
      <c r="J223" s="147"/>
    </row>
    <row r="224" spans="1:10" s="37" customFormat="1" hidden="1">
      <c r="A224" s="14" t="s">
        <v>133</v>
      </c>
      <c r="B224" s="15" t="s">
        <v>2</v>
      </c>
      <c r="C224" s="16" t="s">
        <v>134</v>
      </c>
      <c r="D224" s="12">
        <f>D225</f>
        <v>584213</v>
      </c>
      <c r="E224" s="12"/>
      <c r="F224" s="17">
        <f t="shared" ref="F224:F278" si="50">E224+D224</f>
        <v>584213</v>
      </c>
      <c r="G224" s="12">
        <f>G225</f>
        <v>110678.76</v>
      </c>
      <c r="H224" s="17">
        <f t="shared" ref="H224:H280" si="51">F224-G224</f>
        <v>473534.24</v>
      </c>
      <c r="I224" s="170"/>
      <c r="J224" s="163"/>
    </row>
    <row r="225" spans="1:10" s="37" customFormat="1" ht="23.25" hidden="1">
      <c r="A225" s="14" t="s">
        <v>135</v>
      </c>
      <c r="B225" s="15" t="s">
        <v>2</v>
      </c>
      <c r="C225" s="16" t="s">
        <v>136</v>
      </c>
      <c r="D225" s="12">
        <f>D226+D227</f>
        <v>584213</v>
      </c>
      <c r="E225" s="12"/>
      <c r="F225" s="17">
        <f t="shared" si="50"/>
        <v>584213</v>
      </c>
      <c r="G225" s="12">
        <f>G226+G227</f>
        <v>110678.76</v>
      </c>
      <c r="H225" s="17">
        <f t="shared" si="51"/>
        <v>473534.24</v>
      </c>
      <c r="I225" s="170"/>
      <c r="J225" s="163"/>
    </row>
    <row r="226" spans="1:10" s="37" customFormat="1" ht="16.5" customHeight="1">
      <c r="A226" s="14" t="s">
        <v>137</v>
      </c>
      <c r="B226" s="15" t="s">
        <v>2</v>
      </c>
      <c r="C226" s="16" t="s">
        <v>415</v>
      </c>
      <c r="D226" s="12">
        <v>448704</v>
      </c>
      <c r="E226" s="12">
        <v>448704</v>
      </c>
      <c r="F226" s="12">
        <v>448704</v>
      </c>
      <c r="G226" s="12">
        <v>88094</v>
      </c>
      <c r="H226" s="8">
        <f t="shared" si="51"/>
        <v>360610</v>
      </c>
      <c r="I226" s="163"/>
      <c r="J226" s="163"/>
    </row>
    <row r="227" spans="1:10" s="37" customFormat="1" ht="14.25" customHeight="1">
      <c r="A227" s="14" t="s">
        <v>138</v>
      </c>
      <c r="B227" s="15" t="s">
        <v>2</v>
      </c>
      <c r="C227" s="16" t="s">
        <v>416</v>
      </c>
      <c r="D227" s="12">
        <v>135509</v>
      </c>
      <c r="E227" s="12">
        <v>135509</v>
      </c>
      <c r="F227" s="12">
        <v>135509</v>
      </c>
      <c r="G227" s="12">
        <v>22584.76</v>
      </c>
      <c r="H227" s="8">
        <f t="shared" si="51"/>
        <v>112924.24</v>
      </c>
      <c r="I227" s="163"/>
      <c r="J227" s="163"/>
    </row>
    <row r="228" spans="1:10" ht="45.75">
      <c r="A228" s="77" t="s">
        <v>139</v>
      </c>
      <c r="B228" s="152" t="s">
        <v>2</v>
      </c>
      <c r="C228" s="153" t="s">
        <v>417</v>
      </c>
      <c r="D228" s="17">
        <f>D229</f>
        <v>1678709</v>
      </c>
      <c r="E228" s="17">
        <f t="shared" ref="E228:F228" si="52">E229</f>
        <v>0</v>
      </c>
      <c r="F228" s="17">
        <f t="shared" si="52"/>
        <v>1678709</v>
      </c>
      <c r="G228" s="17">
        <f>G229</f>
        <v>280524.82</v>
      </c>
      <c r="H228" s="17">
        <f t="shared" si="51"/>
        <v>1398184.18</v>
      </c>
      <c r="I228" s="147"/>
      <c r="J228" s="147"/>
    </row>
    <row r="229" spans="1:10" s="37" customFormat="1" hidden="1">
      <c r="A229" s="14" t="s">
        <v>133</v>
      </c>
      <c r="B229" s="15" t="s">
        <v>2</v>
      </c>
      <c r="C229" s="16" t="s">
        <v>140</v>
      </c>
      <c r="D229" s="12">
        <f>D230</f>
        <v>1678709</v>
      </c>
      <c r="E229" s="12"/>
      <c r="F229" s="17">
        <f t="shared" si="50"/>
        <v>1678709</v>
      </c>
      <c r="G229" s="12">
        <f>G230</f>
        <v>280524.82</v>
      </c>
      <c r="H229" s="17">
        <f t="shared" si="51"/>
        <v>1398184.18</v>
      </c>
      <c r="I229" s="163"/>
      <c r="J229" s="163"/>
    </row>
    <row r="230" spans="1:10" s="37" customFormat="1" ht="23.25" hidden="1">
      <c r="A230" s="14" t="s">
        <v>135</v>
      </c>
      <c r="B230" s="15" t="s">
        <v>2</v>
      </c>
      <c r="C230" s="16" t="s">
        <v>141</v>
      </c>
      <c r="D230" s="12">
        <f>D231+D232</f>
        <v>1678709</v>
      </c>
      <c r="E230" s="12"/>
      <c r="F230" s="17">
        <f t="shared" si="50"/>
        <v>1678709</v>
      </c>
      <c r="G230" s="12">
        <f>G231+G232</f>
        <v>280524.82</v>
      </c>
      <c r="H230" s="17">
        <f t="shared" si="51"/>
        <v>1398184.18</v>
      </c>
      <c r="I230" s="163"/>
      <c r="J230" s="163"/>
    </row>
    <row r="231" spans="1:10" s="37" customFormat="1">
      <c r="A231" s="14" t="s">
        <v>137</v>
      </c>
      <c r="B231" s="15" t="s">
        <v>2</v>
      </c>
      <c r="C231" s="16" t="s">
        <v>418</v>
      </c>
      <c r="D231" s="12">
        <v>1289331</v>
      </c>
      <c r="E231" s="12">
        <v>1289331</v>
      </c>
      <c r="F231" s="12">
        <v>1289331</v>
      </c>
      <c r="G231" s="12">
        <v>226293.41</v>
      </c>
      <c r="H231" s="8">
        <f t="shared" si="51"/>
        <v>1063037.5900000001</v>
      </c>
      <c r="I231" s="163"/>
      <c r="J231" s="163"/>
    </row>
    <row r="232" spans="1:10" s="37" customFormat="1">
      <c r="A232" s="14" t="s">
        <v>138</v>
      </c>
      <c r="B232" s="15" t="s">
        <v>2</v>
      </c>
      <c r="C232" s="16" t="s">
        <v>419</v>
      </c>
      <c r="D232" s="12">
        <v>389378</v>
      </c>
      <c r="E232" s="12">
        <v>389378</v>
      </c>
      <c r="F232" s="12">
        <v>389378</v>
      </c>
      <c r="G232" s="12">
        <v>54231.41</v>
      </c>
      <c r="H232" s="8">
        <f t="shared" si="51"/>
        <v>335146.58999999997</v>
      </c>
      <c r="I232" s="163"/>
      <c r="J232" s="163"/>
    </row>
    <row r="233" spans="1:10" ht="45.75">
      <c r="A233" s="77" t="s">
        <v>139</v>
      </c>
      <c r="B233" s="152" t="s">
        <v>2</v>
      </c>
      <c r="C233" s="153" t="s">
        <v>142</v>
      </c>
      <c r="D233" s="17">
        <f>D234</f>
        <v>7918</v>
      </c>
      <c r="E233" s="17">
        <f t="shared" ref="E233:F233" si="53">E234</f>
        <v>7918</v>
      </c>
      <c r="F233" s="17">
        <f t="shared" si="53"/>
        <v>7918</v>
      </c>
      <c r="G233" s="17">
        <f>G234</f>
        <v>2961.4</v>
      </c>
      <c r="H233" s="17">
        <f t="shared" si="51"/>
        <v>4956.6000000000004</v>
      </c>
      <c r="I233" s="147"/>
      <c r="J233" s="147"/>
    </row>
    <row r="234" spans="1:10" s="37" customFormat="1">
      <c r="A234" s="14" t="s">
        <v>327</v>
      </c>
      <c r="B234" s="15" t="s">
        <v>2</v>
      </c>
      <c r="C234" s="16" t="s">
        <v>143</v>
      </c>
      <c r="D234" s="12">
        <v>7918</v>
      </c>
      <c r="E234" s="12">
        <v>7918</v>
      </c>
      <c r="F234" s="12">
        <v>7918</v>
      </c>
      <c r="G234" s="12">
        <v>2961.4</v>
      </c>
      <c r="H234" s="8">
        <f t="shared" si="51"/>
        <v>4956.6000000000004</v>
      </c>
      <c r="I234" s="163"/>
      <c r="J234" s="163"/>
    </row>
    <row r="235" spans="1:10" s="37" customFormat="1" ht="23.25" hidden="1">
      <c r="A235" s="14" t="s">
        <v>135</v>
      </c>
      <c r="B235" s="15" t="s">
        <v>2</v>
      </c>
      <c r="C235" s="16" t="s">
        <v>144</v>
      </c>
      <c r="D235" s="12">
        <f>D236</f>
        <v>2500</v>
      </c>
      <c r="E235" s="12"/>
      <c r="F235" s="17">
        <f t="shared" si="50"/>
        <v>2500</v>
      </c>
      <c r="G235" s="12">
        <f>G236</f>
        <v>0</v>
      </c>
      <c r="H235" s="17">
        <f t="shared" si="51"/>
        <v>2500</v>
      </c>
      <c r="I235" s="163"/>
      <c r="J235" s="163"/>
    </row>
    <row r="236" spans="1:10" s="37" customFormat="1" hidden="1">
      <c r="A236" s="14" t="s">
        <v>145</v>
      </c>
      <c r="B236" s="15" t="s">
        <v>2</v>
      </c>
      <c r="C236" s="16" t="s">
        <v>146</v>
      </c>
      <c r="D236" s="12">
        <v>2500</v>
      </c>
      <c r="E236" s="12"/>
      <c r="F236" s="17">
        <f t="shared" si="50"/>
        <v>2500</v>
      </c>
      <c r="G236" s="12">
        <v>0</v>
      </c>
      <c r="H236" s="17">
        <f t="shared" si="51"/>
        <v>2500</v>
      </c>
      <c r="I236" s="163"/>
      <c r="J236" s="163"/>
    </row>
    <row r="237" spans="1:10" s="37" customFormat="1" hidden="1">
      <c r="A237" s="14" t="s">
        <v>147</v>
      </c>
      <c r="B237" s="15" t="s">
        <v>2</v>
      </c>
      <c r="C237" s="16" t="s">
        <v>148</v>
      </c>
      <c r="D237" s="12">
        <f>D238+D239</f>
        <v>10000</v>
      </c>
      <c r="E237" s="12"/>
      <c r="F237" s="17">
        <f t="shared" si="50"/>
        <v>10000</v>
      </c>
      <c r="G237" s="12">
        <f>G238+G239</f>
        <v>0</v>
      </c>
      <c r="H237" s="17">
        <f t="shared" si="51"/>
        <v>10000</v>
      </c>
      <c r="I237" s="163"/>
      <c r="J237" s="163"/>
    </row>
    <row r="238" spans="1:10" s="37" customFormat="1" hidden="1">
      <c r="A238" s="14" t="s">
        <v>149</v>
      </c>
      <c r="B238" s="15" t="s">
        <v>2</v>
      </c>
      <c r="C238" s="16" t="s">
        <v>150</v>
      </c>
      <c r="D238" s="12">
        <v>4800</v>
      </c>
      <c r="E238" s="12"/>
      <c r="F238" s="17">
        <f t="shared" si="50"/>
        <v>4800</v>
      </c>
      <c r="G238" s="12">
        <v>0</v>
      </c>
      <c r="H238" s="17">
        <f t="shared" si="51"/>
        <v>4800</v>
      </c>
      <c r="I238" s="163"/>
      <c r="J238" s="163"/>
    </row>
    <row r="239" spans="1:10" s="37" customFormat="1" hidden="1">
      <c r="A239" s="14" t="s">
        <v>151</v>
      </c>
      <c r="B239" s="15" t="s">
        <v>2</v>
      </c>
      <c r="C239" s="16" t="s">
        <v>152</v>
      </c>
      <c r="D239" s="12">
        <v>5200</v>
      </c>
      <c r="E239" s="12"/>
      <c r="F239" s="17">
        <f t="shared" si="50"/>
        <v>5200</v>
      </c>
      <c r="G239" s="12">
        <v>0</v>
      </c>
      <c r="H239" s="17">
        <f t="shared" si="51"/>
        <v>5200</v>
      </c>
      <c r="I239" s="163"/>
      <c r="J239" s="163"/>
    </row>
    <row r="240" spans="1:10" ht="45.75">
      <c r="A240" s="77" t="s">
        <v>139</v>
      </c>
      <c r="B240" s="152" t="s">
        <v>2</v>
      </c>
      <c r="C240" s="171" t="s">
        <v>420</v>
      </c>
      <c r="D240" s="17">
        <f>D241+D247</f>
        <v>422111</v>
      </c>
      <c r="E240" s="17">
        <f t="shared" ref="E240:F240" si="54">E241+E247</f>
        <v>232300</v>
      </c>
      <c r="F240" s="17">
        <f t="shared" si="54"/>
        <v>422111</v>
      </c>
      <c r="G240" s="17">
        <f>G241+G247</f>
        <v>87876.09</v>
      </c>
      <c r="H240" s="17">
        <f t="shared" si="51"/>
        <v>334234.91000000003</v>
      </c>
      <c r="I240" s="147"/>
      <c r="J240" s="147"/>
    </row>
    <row r="241" spans="1:10" s="37" customFormat="1">
      <c r="A241" s="14" t="s">
        <v>328</v>
      </c>
      <c r="B241" s="15" t="s">
        <v>2</v>
      </c>
      <c r="C241" s="16" t="s">
        <v>421</v>
      </c>
      <c r="D241" s="12">
        <f>D242+D246</f>
        <v>189811</v>
      </c>
      <c r="E241" s="12">
        <f t="shared" ref="E241:F241" si="55">E242+E246</f>
        <v>0</v>
      </c>
      <c r="F241" s="12">
        <f t="shared" si="55"/>
        <v>189811</v>
      </c>
      <c r="G241" s="12">
        <f>G242+G246</f>
        <v>47676.090000000004</v>
      </c>
      <c r="H241" s="8">
        <f t="shared" si="51"/>
        <v>142134.91</v>
      </c>
      <c r="I241" s="163"/>
      <c r="J241" s="163"/>
    </row>
    <row r="242" spans="1:10" s="37" customFormat="1" hidden="1">
      <c r="A242" s="14" t="s">
        <v>147</v>
      </c>
      <c r="B242" s="15" t="s">
        <v>2</v>
      </c>
      <c r="C242" s="16" t="s">
        <v>153</v>
      </c>
      <c r="D242" s="12">
        <f>D243+D244+D245</f>
        <v>179811</v>
      </c>
      <c r="E242" s="12"/>
      <c r="F242" s="17">
        <f t="shared" si="50"/>
        <v>179811</v>
      </c>
      <c r="G242" s="12">
        <f>G243+G244+G245</f>
        <v>47676.090000000004</v>
      </c>
      <c r="H242" s="8">
        <f t="shared" si="51"/>
        <v>132134.91</v>
      </c>
      <c r="I242" s="163"/>
      <c r="J242" s="163"/>
    </row>
    <row r="243" spans="1:10" s="37" customFormat="1">
      <c r="A243" s="14" t="s">
        <v>154</v>
      </c>
      <c r="B243" s="15" t="s">
        <v>2</v>
      </c>
      <c r="C243" s="16" t="s">
        <v>422</v>
      </c>
      <c r="D243" s="12">
        <v>20400</v>
      </c>
      <c r="E243" s="12"/>
      <c r="F243" s="8">
        <f t="shared" si="50"/>
        <v>20400</v>
      </c>
      <c r="G243" s="12">
        <v>3518.79</v>
      </c>
      <c r="H243" s="8">
        <f t="shared" si="51"/>
        <v>16881.21</v>
      </c>
      <c r="I243" s="163"/>
      <c r="J243" s="163"/>
    </row>
    <row r="244" spans="1:10" s="37" customFormat="1">
      <c r="A244" s="14" t="s">
        <v>155</v>
      </c>
      <c r="B244" s="15" t="s">
        <v>2</v>
      </c>
      <c r="C244" s="16" t="s">
        <v>423</v>
      </c>
      <c r="D244" s="12">
        <v>28100</v>
      </c>
      <c r="E244" s="12">
        <v>28100</v>
      </c>
      <c r="F244" s="12">
        <v>28100</v>
      </c>
      <c r="G244" s="12">
        <v>523</v>
      </c>
      <c r="H244" s="8">
        <f t="shared" si="51"/>
        <v>27577</v>
      </c>
      <c r="I244" s="163"/>
      <c r="J244" s="163"/>
    </row>
    <row r="245" spans="1:10" s="37" customFormat="1">
      <c r="A245" s="14" t="s">
        <v>151</v>
      </c>
      <c r="B245" s="15" t="s">
        <v>2</v>
      </c>
      <c r="C245" s="16" t="s">
        <v>424</v>
      </c>
      <c r="D245" s="12">
        <v>131311</v>
      </c>
      <c r="E245" s="12">
        <v>131311</v>
      </c>
      <c r="F245" s="12">
        <v>131311</v>
      </c>
      <c r="G245" s="12">
        <v>43634.3</v>
      </c>
      <c r="H245" s="8">
        <f t="shared" si="51"/>
        <v>87676.7</v>
      </c>
      <c r="I245" s="163"/>
      <c r="J245" s="163"/>
    </row>
    <row r="246" spans="1:10" s="37" customFormat="1">
      <c r="A246" s="14" t="s">
        <v>156</v>
      </c>
      <c r="B246" s="15" t="s">
        <v>2</v>
      </c>
      <c r="C246" s="16" t="s">
        <v>425</v>
      </c>
      <c r="D246" s="12">
        <v>10000</v>
      </c>
      <c r="E246" s="12"/>
      <c r="F246" s="8">
        <f t="shared" si="50"/>
        <v>10000</v>
      </c>
      <c r="G246" s="12">
        <v>0</v>
      </c>
      <c r="H246" s="8">
        <f t="shared" si="51"/>
        <v>10000</v>
      </c>
      <c r="I246" s="163"/>
      <c r="J246" s="163"/>
    </row>
    <row r="247" spans="1:10" s="37" customFormat="1">
      <c r="A247" s="14" t="s">
        <v>157</v>
      </c>
      <c r="B247" s="15" t="s">
        <v>2</v>
      </c>
      <c r="C247" s="16" t="s">
        <v>426</v>
      </c>
      <c r="D247" s="12">
        <f>D248</f>
        <v>232300</v>
      </c>
      <c r="E247" s="12">
        <f t="shared" ref="E247:F247" si="56">E248</f>
        <v>232300</v>
      </c>
      <c r="F247" s="12">
        <f t="shared" si="56"/>
        <v>232300</v>
      </c>
      <c r="G247" s="12">
        <f>G248</f>
        <v>40200</v>
      </c>
      <c r="H247" s="8">
        <f>F247-G247</f>
        <v>192100</v>
      </c>
      <c r="I247" s="163"/>
      <c r="J247" s="163"/>
    </row>
    <row r="248" spans="1:10" s="37" customFormat="1">
      <c r="A248" s="14" t="s">
        <v>158</v>
      </c>
      <c r="B248" s="15" t="s">
        <v>2</v>
      </c>
      <c r="C248" s="16" t="s">
        <v>427</v>
      </c>
      <c r="D248" s="12">
        <v>232300</v>
      </c>
      <c r="E248" s="12">
        <v>232300</v>
      </c>
      <c r="F248" s="12">
        <v>232300</v>
      </c>
      <c r="G248" s="12">
        <v>40200</v>
      </c>
      <c r="H248" s="8">
        <f t="shared" si="51"/>
        <v>192100</v>
      </c>
      <c r="I248" s="163"/>
      <c r="J248" s="163"/>
    </row>
    <row r="249" spans="1:10" s="36" customFormat="1" hidden="1">
      <c r="A249" s="14" t="s">
        <v>133</v>
      </c>
      <c r="B249" s="15"/>
      <c r="C249" s="20" t="s">
        <v>301</v>
      </c>
      <c r="D249" s="8">
        <f t="shared" ref="D249:G249" si="57">D250</f>
        <v>80000</v>
      </c>
      <c r="E249" s="8"/>
      <c r="F249" s="17">
        <f t="shared" si="50"/>
        <v>80000</v>
      </c>
      <c r="G249" s="12">
        <f t="shared" si="57"/>
        <v>80000</v>
      </c>
      <c r="H249" s="17">
        <f t="shared" si="51"/>
        <v>0</v>
      </c>
      <c r="I249" s="158"/>
      <c r="J249" s="158"/>
    </row>
    <row r="250" spans="1:10" s="36" customFormat="1" hidden="1">
      <c r="A250" s="14" t="s">
        <v>147</v>
      </c>
      <c r="B250" s="15"/>
      <c r="C250" s="20" t="s">
        <v>300</v>
      </c>
      <c r="D250" s="8">
        <v>80000</v>
      </c>
      <c r="E250" s="8"/>
      <c r="F250" s="17">
        <f t="shared" si="50"/>
        <v>80000</v>
      </c>
      <c r="G250" s="12">
        <v>80000</v>
      </c>
      <c r="H250" s="17">
        <f t="shared" si="51"/>
        <v>0</v>
      </c>
      <c r="I250" s="158"/>
      <c r="J250" s="158"/>
    </row>
    <row r="251" spans="1:10" s="32" customFormat="1" hidden="1">
      <c r="A251" s="49"/>
      <c r="B251" s="50"/>
      <c r="C251" s="172"/>
      <c r="D251" s="173"/>
      <c r="E251" s="173"/>
      <c r="F251" s="17">
        <f t="shared" si="50"/>
        <v>0</v>
      </c>
      <c r="G251" s="33"/>
      <c r="H251" s="17">
        <f t="shared" si="51"/>
        <v>0</v>
      </c>
      <c r="I251" s="165"/>
      <c r="J251" s="165"/>
    </row>
    <row r="252" spans="1:10" s="34" customFormat="1" ht="45.75" hidden="1">
      <c r="A252" s="174" t="s">
        <v>139</v>
      </c>
      <c r="B252" s="175"/>
      <c r="C252" s="172" t="s">
        <v>221</v>
      </c>
      <c r="D252" s="176">
        <f t="shared" ref="D252:G254" si="58">D253</f>
        <v>0</v>
      </c>
      <c r="E252" s="176"/>
      <c r="F252" s="17">
        <f t="shared" si="50"/>
        <v>0</v>
      </c>
      <c r="G252" s="177">
        <f t="shared" si="58"/>
        <v>0</v>
      </c>
      <c r="H252" s="17">
        <f t="shared" si="51"/>
        <v>0</v>
      </c>
      <c r="I252" s="166"/>
      <c r="J252" s="166"/>
    </row>
    <row r="253" spans="1:10" s="32" customFormat="1" hidden="1">
      <c r="A253" s="49" t="s">
        <v>133</v>
      </c>
      <c r="B253" s="50"/>
      <c r="C253" s="48" t="s">
        <v>222</v>
      </c>
      <c r="D253" s="173">
        <f t="shared" si="58"/>
        <v>0</v>
      </c>
      <c r="E253" s="173"/>
      <c r="F253" s="17">
        <f t="shared" si="50"/>
        <v>0</v>
      </c>
      <c r="G253" s="33">
        <f t="shared" si="58"/>
        <v>0</v>
      </c>
      <c r="H253" s="17">
        <f t="shared" si="51"/>
        <v>0</v>
      </c>
      <c r="I253" s="165"/>
      <c r="J253" s="165"/>
    </row>
    <row r="254" spans="1:10" s="32" customFormat="1" hidden="1">
      <c r="A254" s="49" t="s">
        <v>147</v>
      </c>
      <c r="B254" s="50"/>
      <c r="C254" s="48" t="s">
        <v>223</v>
      </c>
      <c r="D254" s="173">
        <f t="shared" si="58"/>
        <v>0</v>
      </c>
      <c r="E254" s="173"/>
      <c r="F254" s="17">
        <f t="shared" si="50"/>
        <v>0</v>
      </c>
      <c r="G254" s="33">
        <f t="shared" si="58"/>
        <v>0</v>
      </c>
      <c r="H254" s="17">
        <f t="shared" si="51"/>
        <v>0</v>
      </c>
      <c r="I254" s="165"/>
      <c r="J254" s="165"/>
    </row>
    <row r="255" spans="1:10" s="32" customFormat="1" hidden="1">
      <c r="A255" s="49" t="s">
        <v>155</v>
      </c>
      <c r="B255" s="50"/>
      <c r="C255" s="48" t="s">
        <v>224</v>
      </c>
      <c r="D255" s="173">
        <v>0</v>
      </c>
      <c r="E255" s="173"/>
      <c r="F255" s="17">
        <f t="shared" si="50"/>
        <v>0</v>
      </c>
      <c r="G255" s="33">
        <v>0</v>
      </c>
      <c r="H255" s="17">
        <f t="shared" si="51"/>
        <v>0</v>
      </c>
      <c r="I255" s="165"/>
      <c r="J255" s="165"/>
    </row>
    <row r="256" spans="1:10">
      <c r="A256" s="77" t="s">
        <v>283</v>
      </c>
      <c r="B256" s="152" t="s">
        <v>2</v>
      </c>
      <c r="C256" s="153" t="s">
        <v>433</v>
      </c>
      <c r="D256" s="17">
        <v>50000</v>
      </c>
      <c r="E256" s="17">
        <v>50000</v>
      </c>
      <c r="F256" s="17">
        <v>50000</v>
      </c>
      <c r="G256" s="17">
        <v>0</v>
      </c>
      <c r="H256" s="17">
        <f t="shared" si="51"/>
        <v>50000</v>
      </c>
      <c r="I256" s="147"/>
      <c r="J256" s="147"/>
    </row>
    <row r="257" spans="1:10" hidden="1">
      <c r="A257" s="14" t="s">
        <v>133</v>
      </c>
      <c r="B257" s="152"/>
      <c r="C257" s="16" t="s">
        <v>284</v>
      </c>
      <c r="D257" s="8">
        <f>D258</f>
        <v>50000</v>
      </c>
      <c r="E257" s="8"/>
      <c r="F257" s="17">
        <f t="shared" si="50"/>
        <v>50000</v>
      </c>
      <c r="G257" s="17"/>
      <c r="H257" s="17">
        <f t="shared" si="51"/>
        <v>50000</v>
      </c>
      <c r="I257" s="147"/>
      <c r="J257" s="147"/>
    </row>
    <row r="258" spans="1:10" s="37" customFormat="1" hidden="1">
      <c r="A258" s="14" t="s">
        <v>156</v>
      </c>
      <c r="B258" s="15" t="s">
        <v>2</v>
      </c>
      <c r="C258" s="16" t="s">
        <v>285</v>
      </c>
      <c r="D258" s="12">
        <v>50000</v>
      </c>
      <c r="E258" s="12"/>
      <c r="F258" s="17">
        <f t="shared" si="50"/>
        <v>50000</v>
      </c>
      <c r="G258" s="12">
        <v>0</v>
      </c>
      <c r="H258" s="17">
        <f t="shared" si="51"/>
        <v>50000</v>
      </c>
      <c r="I258" s="163"/>
      <c r="J258" s="163"/>
    </row>
    <row r="259" spans="1:10" ht="15" customHeight="1">
      <c r="A259" s="77" t="s">
        <v>330</v>
      </c>
      <c r="B259" s="152" t="s">
        <v>2</v>
      </c>
      <c r="C259" s="153" t="s">
        <v>432</v>
      </c>
      <c r="D259" s="17">
        <v>1000</v>
      </c>
      <c r="E259" s="17"/>
      <c r="F259" s="17">
        <f t="shared" si="50"/>
        <v>1000</v>
      </c>
      <c r="G259" s="17"/>
      <c r="H259" s="17">
        <f t="shared" si="51"/>
        <v>1000</v>
      </c>
      <c r="I259" s="147"/>
      <c r="J259" s="147"/>
    </row>
    <row r="260" spans="1:10" s="37" customFormat="1" hidden="1">
      <c r="A260" s="14" t="s">
        <v>133</v>
      </c>
      <c r="B260" s="15" t="s">
        <v>2</v>
      </c>
      <c r="C260" s="16" t="s">
        <v>160</v>
      </c>
      <c r="D260" s="12">
        <v>1000</v>
      </c>
      <c r="E260" s="12"/>
      <c r="F260" s="17">
        <f t="shared" si="50"/>
        <v>1000</v>
      </c>
      <c r="G260" s="12">
        <f>G261</f>
        <v>752.5</v>
      </c>
      <c r="H260" s="17">
        <f t="shared" si="51"/>
        <v>247.5</v>
      </c>
      <c r="I260" s="163"/>
      <c r="J260" s="163"/>
    </row>
    <row r="261" spans="1:10" s="37" customFormat="1" hidden="1">
      <c r="A261" s="14" t="s">
        <v>156</v>
      </c>
      <c r="B261" s="15" t="s">
        <v>2</v>
      </c>
      <c r="C261" s="16" t="s">
        <v>161</v>
      </c>
      <c r="D261" s="12">
        <v>1000</v>
      </c>
      <c r="E261" s="12"/>
      <c r="F261" s="17">
        <f t="shared" si="50"/>
        <v>1000</v>
      </c>
      <c r="G261" s="12">
        <v>752.5</v>
      </c>
      <c r="H261" s="17">
        <f t="shared" si="51"/>
        <v>247.5</v>
      </c>
      <c r="I261" s="163"/>
      <c r="J261" s="163"/>
    </row>
    <row r="262" spans="1:10" s="32" customFormat="1" hidden="1">
      <c r="A262" s="174" t="s">
        <v>159</v>
      </c>
      <c r="B262" s="178" t="s">
        <v>2</v>
      </c>
      <c r="C262" s="179" t="s">
        <v>248</v>
      </c>
      <c r="D262" s="176">
        <f>D263</f>
        <v>0</v>
      </c>
      <c r="E262" s="176"/>
      <c r="F262" s="17">
        <f t="shared" si="50"/>
        <v>0</v>
      </c>
      <c r="G262" s="176">
        <f>G263</f>
        <v>0</v>
      </c>
      <c r="H262" s="17">
        <f t="shared" si="51"/>
        <v>0</v>
      </c>
      <c r="I262" s="165"/>
      <c r="J262" s="165"/>
    </row>
    <row r="263" spans="1:10" s="32" customFormat="1" hidden="1">
      <c r="A263" s="49" t="s">
        <v>133</v>
      </c>
      <c r="B263" s="50" t="s">
        <v>2</v>
      </c>
      <c r="C263" s="48" t="s">
        <v>249</v>
      </c>
      <c r="D263" s="33">
        <f>D264</f>
        <v>0</v>
      </c>
      <c r="E263" s="33"/>
      <c r="F263" s="17">
        <f t="shared" si="50"/>
        <v>0</v>
      </c>
      <c r="G263" s="33">
        <f>G264</f>
        <v>0</v>
      </c>
      <c r="H263" s="17">
        <f t="shared" si="51"/>
        <v>0</v>
      </c>
      <c r="I263" s="165"/>
      <c r="J263" s="165"/>
    </row>
    <row r="264" spans="1:10" s="32" customFormat="1" hidden="1">
      <c r="A264" s="49" t="s">
        <v>151</v>
      </c>
      <c r="B264" s="50" t="s">
        <v>2</v>
      </c>
      <c r="C264" s="48" t="s">
        <v>250</v>
      </c>
      <c r="D264" s="33">
        <v>0</v>
      </c>
      <c r="E264" s="33"/>
      <c r="F264" s="17">
        <f t="shared" si="50"/>
        <v>0</v>
      </c>
      <c r="G264" s="33">
        <v>0</v>
      </c>
      <c r="H264" s="17">
        <f t="shared" si="51"/>
        <v>0</v>
      </c>
      <c r="I264" s="165"/>
      <c r="J264" s="165"/>
    </row>
    <row r="265" spans="1:10" ht="23.25">
      <c r="A265" s="77" t="s">
        <v>329</v>
      </c>
      <c r="B265" s="152" t="s">
        <v>2</v>
      </c>
      <c r="C265" s="153" t="s">
        <v>431</v>
      </c>
      <c r="D265" s="17">
        <v>4993</v>
      </c>
      <c r="E265" s="17"/>
      <c r="F265" s="17">
        <f t="shared" si="50"/>
        <v>4993</v>
      </c>
      <c r="G265" s="17">
        <v>1248</v>
      </c>
      <c r="H265" s="17">
        <f t="shared" si="51"/>
        <v>3745</v>
      </c>
      <c r="I265" s="147"/>
      <c r="J265" s="147"/>
    </row>
    <row r="266" spans="1:10" s="37" customFormat="1" hidden="1">
      <c r="A266" s="14" t="s">
        <v>157</v>
      </c>
      <c r="B266" s="15" t="s">
        <v>2</v>
      </c>
      <c r="C266" s="16" t="s">
        <v>162</v>
      </c>
      <c r="D266" s="12">
        <f>D267</f>
        <v>4939</v>
      </c>
      <c r="E266" s="12"/>
      <c r="F266" s="17">
        <f t="shared" si="50"/>
        <v>4939</v>
      </c>
      <c r="G266" s="12">
        <f>G267</f>
        <v>3690</v>
      </c>
      <c r="H266" s="17">
        <f t="shared" si="51"/>
        <v>1249</v>
      </c>
      <c r="I266" s="163"/>
      <c r="J266" s="163"/>
    </row>
    <row r="267" spans="1:10" s="37" customFormat="1" hidden="1">
      <c r="A267" s="14" t="s">
        <v>158</v>
      </c>
      <c r="B267" s="15" t="s">
        <v>2</v>
      </c>
      <c r="C267" s="16" t="s">
        <v>163</v>
      </c>
      <c r="D267" s="12">
        <f>4939</f>
        <v>4939</v>
      </c>
      <c r="E267" s="12"/>
      <c r="F267" s="17">
        <f t="shared" si="50"/>
        <v>4939</v>
      </c>
      <c r="G267" s="12">
        <f>2455+1235</f>
        <v>3690</v>
      </c>
      <c r="H267" s="17">
        <f t="shared" si="51"/>
        <v>1249</v>
      </c>
      <c r="I267" s="163"/>
      <c r="J267" s="163"/>
    </row>
    <row r="268" spans="1:10" ht="23.25">
      <c r="A268" s="77" t="s">
        <v>331</v>
      </c>
      <c r="B268" s="152" t="s">
        <v>2</v>
      </c>
      <c r="C268" s="153" t="s">
        <v>428</v>
      </c>
      <c r="D268" s="17">
        <f>D269</f>
        <v>80700</v>
      </c>
      <c r="E268" s="17">
        <f>E271+E272</f>
        <v>80700</v>
      </c>
      <c r="F268" s="17">
        <f>F271+F272</f>
        <v>80700</v>
      </c>
      <c r="G268" s="17">
        <f>G269</f>
        <v>18832.760000000002</v>
      </c>
      <c r="H268" s="17">
        <f t="shared" si="51"/>
        <v>61867.24</v>
      </c>
      <c r="I268" s="156">
        <f>61240-G268-G273</f>
        <v>42407.24</v>
      </c>
      <c r="J268" s="147"/>
    </row>
    <row r="269" spans="1:10" s="37" customFormat="1" hidden="1">
      <c r="A269" s="14" t="s">
        <v>133</v>
      </c>
      <c r="B269" s="15" t="s">
        <v>2</v>
      </c>
      <c r="C269" s="16" t="s">
        <v>165</v>
      </c>
      <c r="D269" s="12">
        <f>D270</f>
        <v>80700</v>
      </c>
      <c r="E269" s="12"/>
      <c r="F269" s="17">
        <f t="shared" si="50"/>
        <v>80700</v>
      </c>
      <c r="G269" s="12">
        <f>G270</f>
        <v>18832.760000000002</v>
      </c>
      <c r="H269" s="17">
        <f t="shared" si="51"/>
        <v>61867.24</v>
      </c>
      <c r="I269" s="163"/>
      <c r="J269" s="163"/>
    </row>
    <row r="270" spans="1:10" s="37" customFormat="1" ht="23.25" hidden="1">
      <c r="A270" s="14" t="s">
        <v>135</v>
      </c>
      <c r="B270" s="15" t="s">
        <v>2</v>
      </c>
      <c r="C270" s="16" t="s">
        <v>166</v>
      </c>
      <c r="D270" s="12">
        <f>D271+D272</f>
        <v>80700</v>
      </c>
      <c r="E270" s="12"/>
      <c r="F270" s="17">
        <f t="shared" si="50"/>
        <v>80700</v>
      </c>
      <c r="G270" s="12">
        <f>G271+G272</f>
        <v>18832.760000000002</v>
      </c>
      <c r="H270" s="17">
        <f t="shared" si="51"/>
        <v>61867.24</v>
      </c>
      <c r="I270" s="163"/>
      <c r="J270" s="163"/>
    </row>
    <row r="271" spans="1:10" s="37" customFormat="1">
      <c r="A271" s="14" t="s">
        <v>137</v>
      </c>
      <c r="B271" s="15" t="s">
        <v>2</v>
      </c>
      <c r="C271" s="16" t="s">
        <v>429</v>
      </c>
      <c r="D271" s="12">
        <v>61982</v>
      </c>
      <c r="E271" s="12">
        <v>61982</v>
      </c>
      <c r="F271" s="12">
        <v>61982</v>
      </c>
      <c r="G271" s="12">
        <v>14464.49</v>
      </c>
      <c r="H271" s="8">
        <f t="shared" si="51"/>
        <v>47517.51</v>
      </c>
      <c r="I271" s="163"/>
      <c r="J271" s="163"/>
    </row>
    <row r="272" spans="1:10" s="37" customFormat="1">
      <c r="A272" s="14" t="s">
        <v>138</v>
      </c>
      <c r="B272" s="15" t="s">
        <v>2</v>
      </c>
      <c r="C272" s="16" t="s">
        <v>430</v>
      </c>
      <c r="D272" s="12">
        <v>18718</v>
      </c>
      <c r="E272" s="12">
        <v>18718</v>
      </c>
      <c r="F272" s="12">
        <v>18718</v>
      </c>
      <c r="G272" s="12">
        <v>4368.2700000000004</v>
      </c>
      <c r="H272" s="8">
        <f t="shared" si="51"/>
        <v>14349.73</v>
      </c>
      <c r="I272" s="163"/>
      <c r="J272" s="163"/>
    </row>
    <row r="273" spans="1:10">
      <c r="A273" s="77" t="s">
        <v>164</v>
      </c>
      <c r="B273" s="152" t="s">
        <v>2</v>
      </c>
      <c r="C273" s="153" t="s">
        <v>434</v>
      </c>
      <c r="D273" s="17">
        <f>D274+D278</f>
        <v>16200</v>
      </c>
      <c r="E273" s="17">
        <f>E279</f>
        <v>546.63</v>
      </c>
      <c r="F273" s="17">
        <f>F276+F279+F280</f>
        <v>8400</v>
      </c>
      <c r="G273" s="17">
        <f>G274+G278</f>
        <v>0</v>
      </c>
      <c r="H273" s="17">
        <f t="shared" si="51"/>
        <v>8400</v>
      </c>
      <c r="I273" s="147"/>
      <c r="J273" s="147"/>
    </row>
    <row r="274" spans="1:10" s="37" customFormat="1" hidden="1">
      <c r="A274" s="14" t="s">
        <v>133</v>
      </c>
      <c r="B274" s="15" t="s">
        <v>2</v>
      </c>
      <c r="C274" s="16" t="s">
        <v>167</v>
      </c>
      <c r="D274" s="12">
        <f>D275</f>
        <v>2000</v>
      </c>
      <c r="E274" s="12"/>
      <c r="F274" s="17">
        <f t="shared" si="50"/>
        <v>2000</v>
      </c>
      <c r="G274" s="12">
        <f>G275</f>
        <v>0</v>
      </c>
      <c r="H274" s="17">
        <f t="shared" si="51"/>
        <v>2000</v>
      </c>
      <c r="I274" s="163"/>
      <c r="J274" s="163"/>
    </row>
    <row r="275" spans="1:10" s="37" customFormat="1" hidden="1">
      <c r="A275" s="14" t="s">
        <v>147</v>
      </c>
      <c r="B275" s="15" t="s">
        <v>2</v>
      </c>
      <c r="C275" s="16" t="s">
        <v>168</v>
      </c>
      <c r="D275" s="12">
        <f>D276+D277</f>
        <v>2000</v>
      </c>
      <c r="E275" s="12"/>
      <c r="F275" s="17">
        <f t="shared" si="50"/>
        <v>2000</v>
      </c>
      <c r="G275" s="12">
        <f>G276+G277</f>
        <v>0</v>
      </c>
      <c r="H275" s="17">
        <f t="shared" si="51"/>
        <v>2000</v>
      </c>
      <c r="I275" s="163"/>
      <c r="J275" s="163"/>
    </row>
    <row r="276" spans="1:10" s="37" customFormat="1">
      <c r="A276" s="14" t="s">
        <v>155</v>
      </c>
      <c r="B276" s="15" t="s">
        <v>2</v>
      </c>
      <c r="C276" s="16" t="s">
        <v>435</v>
      </c>
      <c r="D276" s="12">
        <v>2000</v>
      </c>
      <c r="E276" s="12"/>
      <c r="F276" s="17">
        <v>0</v>
      </c>
      <c r="G276" s="12">
        <v>0</v>
      </c>
      <c r="H276" s="17">
        <f t="shared" si="51"/>
        <v>0</v>
      </c>
      <c r="I276" s="163"/>
      <c r="J276" s="163"/>
    </row>
    <row r="277" spans="1:10" s="37" customFormat="1" hidden="1">
      <c r="A277" s="14" t="s">
        <v>151</v>
      </c>
      <c r="B277" s="15"/>
      <c r="C277" s="16" t="s">
        <v>265</v>
      </c>
      <c r="D277" s="12">
        <v>0</v>
      </c>
      <c r="E277" s="12"/>
      <c r="F277" s="17">
        <f t="shared" si="50"/>
        <v>0</v>
      </c>
      <c r="G277" s="12">
        <v>0</v>
      </c>
      <c r="H277" s="17">
        <f t="shared" si="51"/>
        <v>0</v>
      </c>
      <c r="I277" s="163"/>
      <c r="J277" s="163"/>
    </row>
    <row r="278" spans="1:10" s="37" customFormat="1" hidden="1">
      <c r="A278" s="14" t="s">
        <v>157</v>
      </c>
      <c r="B278" s="15" t="s">
        <v>2</v>
      </c>
      <c r="C278" s="16" t="s">
        <v>169</v>
      </c>
      <c r="D278" s="12">
        <f>D279+D280</f>
        <v>14200</v>
      </c>
      <c r="E278" s="12"/>
      <c r="F278" s="17">
        <f t="shared" si="50"/>
        <v>14200</v>
      </c>
      <c r="G278" s="12">
        <f>G279+G280</f>
        <v>0</v>
      </c>
      <c r="H278" s="17">
        <f t="shared" si="51"/>
        <v>14200</v>
      </c>
      <c r="I278" s="163"/>
      <c r="J278" s="163"/>
    </row>
    <row r="279" spans="1:10" s="37" customFormat="1">
      <c r="A279" s="70" t="s">
        <v>151</v>
      </c>
      <c r="B279" s="15" t="s">
        <v>2</v>
      </c>
      <c r="C279" s="16" t="s">
        <v>436</v>
      </c>
      <c r="D279" s="12">
        <v>3500</v>
      </c>
      <c r="E279" s="12">
        <v>546.63</v>
      </c>
      <c r="F279" s="17">
        <v>0</v>
      </c>
      <c r="G279" s="12">
        <v>0</v>
      </c>
      <c r="H279" s="17">
        <f t="shared" si="51"/>
        <v>0</v>
      </c>
      <c r="I279" s="163"/>
      <c r="J279" s="163"/>
    </row>
    <row r="280" spans="1:10" s="37" customFormat="1">
      <c r="A280" s="14" t="s">
        <v>158</v>
      </c>
      <c r="B280" s="15"/>
      <c r="C280" s="16" t="s">
        <v>437</v>
      </c>
      <c r="D280" s="12">
        <v>10700</v>
      </c>
      <c r="E280" s="12"/>
      <c r="F280" s="8">
        <v>8400</v>
      </c>
      <c r="G280" s="12"/>
      <c r="H280" s="8">
        <f t="shared" si="51"/>
        <v>8400</v>
      </c>
      <c r="I280" s="163"/>
      <c r="J280" s="163"/>
    </row>
    <row r="281" spans="1:10" s="37" customFormat="1" ht="27" customHeight="1">
      <c r="A281" s="141" t="s">
        <v>387</v>
      </c>
      <c r="B281" s="142"/>
      <c r="C281" s="143"/>
      <c r="D281" s="144">
        <f>D284+D287+D301+D306+D310+D323+D327+D331+D335+D339+D344+D352+D359+D366+D369+D373+D378+D382+D388+D390</f>
        <v>1661199</v>
      </c>
      <c r="E281" s="144">
        <f t="shared" ref="E281:G281" si="59">E284+E287+E301+E306+E310+E323+E327+E331+E335+E339+E344+E352+E359+E366+E369+E373+E378+E382+E388+E390</f>
        <v>19550.989999999998</v>
      </c>
      <c r="F281" s="144">
        <f>F284+F287+F301+F306+F310+F319+F323+F327+F331+F335+F339+F344+F352+F359+F366+F369+F373+F378+F382+F388+F390+F315</f>
        <v>1865389.36</v>
      </c>
      <c r="G281" s="144">
        <f t="shared" si="59"/>
        <v>190443.71000000002</v>
      </c>
      <c r="H281" s="144">
        <f>H284+H287+H301+H306+H310+H315+H319+H323+H327+H331+H335+H339+H344+H352+H359+H366+H369+H373+H378+H382+H388+H390</f>
        <v>1644945.6500000001</v>
      </c>
      <c r="I281" s="163"/>
      <c r="J281" s="163"/>
    </row>
    <row r="282" spans="1:10" s="37" customFormat="1" ht="34.5" customHeight="1">
      <c r="A282" s="320" t="s">
        <v>332</v>
      </c>
      <c r="B282" s="320"/>
      <c r="C282" s="320"/>
      <c r="D282" s="320"/>
      <c r="E282" s="320"/>
      <c r="F282" s="320"/>
      <c r="G282" s="320"/>
      <c r="H282" s="320"/>
      <c r="I282" s="163"/>
      <c r="J282" s="163"/>
    </row>
    <row r="283" spans="1:10" s="84" customFormat="1" ht="27.75" customHeight="1">
      <c r="A283" s="319" t="s">
        <v>333</v>
      </c>
      <c r="B283" s="319"/>
      <c r="C283" s="319"/>
      <c r="D283" s="319"/>
      <c r="E283" s="319"/>
      <c r="F283" s="319"/>
      <c r="G283" s="319"/>
      <c r="H283" s="319"/>
      <c r="I283" s="167"/>
      <c r="J283" s="167"/>
    </row>
    <row r="284" spans="1:10" ht="23.25">
      <c r="A284" s="77" t="s">
        <v>334</v>
      </c>
      <c r="B284" s="152" t="s">
        <v>2</v>
      </c>
      <c r="C284" s="153" t="s">
        <v>438</v>
      </c>
      <c r="D284" s="17">
        <f>D285</f>
        <v>10000</v>
      </c>
      <c r="E284" s="17"/>
      <c r="F284" s="17">
        <f>D284+E284</f>
        <v>10000</v>
      </c>
      <c r="G284" s="17">
        <f>G285</f>
        <v>0</v>
      </c>
      <c r="H284" s="17">
        <f>F284-G284</f>
        <v>10000</v>
      </c>
      <c r="I284" s="147"/>
      <c r="J284" s="147"/>
    </row>
    <row r="285" spans="1:10" s="37" customFormat="1" ht="15.75" hidden="1" customHeight="1">
      <c r="A285" s="14" t="s">
        <v>157</v>
      </c>
      <c r="B285" s="15" t="s">
        <v>2</v>
      </c>
      <c r="C285" s="16" t="s">
        <v>266</v>
      </c>
      <c r="D285" s="12">
        <f>D286</f>
        <v>10000</v>
      </c>
      <c r="E285" s="12"/>
      <c r="F285" s="17">
        <f t="shared" ref="F285:F304" si="60">D285+E285</f>
        <v>10000</v>
      </c>
      <c r="G285" s="12">
        <f>G286</f>
        <v>0</v>
      </c>
      <c r="H285" s="17">
        <f t="shared" ref="H285:H294" si="61">F285-G285</f>
        <v>10000</v>
      </c>
      <c r="I285" s="163"/>
      <c r="J285" s="163"/>
    </row>
    <row r="286" spans="1:10" s="37" customFormat="1">
      <c r="A286" s="70" t="s">
        <v>155</v>
      </c>
      <c r="B286" s="15" t="s">
        <v>2</v>
      </c>
      <c r="C286" s="16" t="s">
        <v>439</v>
      </c>
      <c r="D286" s="12">
        <v>10000</v>
      </c>
      <c r="E286" s="12"/>
      <c r="F286" s="8">
        <f t="shared" si="60"/>
        <v>10000</v>
      </c>
      <c r="G286" s="12"/>
      <c r="H286" s="8">
        <f t="shared" si="61"/>
        <v>10000</v>
      </c>
      <c r="I286" s="163"/>
      <c r="J286" s="163"/>
    </row>
    <row r="287" spans="1:10" ht="24" customHeight="1">
      <c r="A287" s="77" t="s">
        <v>335</v>
      </c>
      <c r="B287" s="152" t="s">
        <v>2</v>
      </c>
      <c r="C287" s="153" t="s">
        <v>440</v>
      </c>
      <c r="D287" s="17">
        <f>D288+D292</f>
        <v>35000</v>
      </c>
      <c r="E287" s="17">
        <f t="shared" ref="E287" si="62">E288+E292</f>
        <v>0</v>
      </c>
      <c r="F287" s="17">
        <f>F290+F291+F293+F294</f>
        <v>76270</v>
      </c>
      <c r="G287" s="17">
        <f>G288+G292</f>
        <v>1600</v>
      </c>
      <c r="H287" s="17">
        <f t="shared" si="61"/>
        <v>74670</v>
      </c>
      <c r="I287" s="147"/>
      <c r="J287" s="147"/>
    </row>
    <row r="288" spans="1:10" hidden="1">
      <c r="A288" s="14" t="s">
        <v>133</v>
      </c>
      <c r="B288" s="15" t="s">
        <v>2</v>
      </c>
      <c r="C288" s="16" t="s">
        <v>171</v>
      </c>
      <c r="D288" s="12">
        <f>D289</f>
        <v>14300</v>
      </c>
      <c r="E288" s="12"/>
      <c r="F288" s="17">
        <f t="shared" si="60"/>
        <v>14300</v>
      </c>
      <c r="G288" s="12">
        <f>G289</f>
        <v>0</v>
      </c>
      <c r="H288" s="17">
        <f t="shared" si="61"/>
        <v>14300</v>
      </c>
      <c r="I288" s="147"/>
      <c r="J288" s="147"/>
    </row>
    <row r="289" spans="1:10" hidden="1">
      <c r="A289" s="14" t="s">
        <v>147</v>
      </c>
      <c r="B289" s="15" t="s">
        <v>2</v>
      </c>
      <c r="C289" s="16" t="s">
        <v>172</v>
      </c>
      <c r="D289" s="12">
        <f>D290+D291</f>
        <v>14300</v>
      </c>
      <c r="E289" s="12"/>
      <c r="F289" s="17">
        <f t="shared" si="60"/>
        <v>14300</v>
      </c>
      <c r="G289" s="12">
        <f>G290+G291</f>
        <v>0</v>
      </c>
      <c r="H289" s="17">
        <f t="shared" si="61"/>
        <v>14300</v>
      </c>
      <c r="I289" s="147"/>
      <c r="J289" s="147"/>
    </row>
    <row r="290" spans="1:10">
      <c r="A290" s="14" t="s">
        <v>155</v>
      </c>
      <c r="B290" s="15" t="s">
        <v>2</v>
      </c>
      <c r="C290" s="16" t="s">
        <v>441</v>
      </c>
      <c r="D290" s="12">
        <v>8800</v>
      </c>
      <c r="E290" s="12"/>
      <c r="F290" s="8">
        <v>36070</v>
      </c>
      <c r="G290" s="12">
        <v>0</v>
      </c>
      <c r="H290" s="8">
        <f t="shared" si="61"/>
        <v>36070</v>
      </c>
      <c r="I290" s="147"/>
      <c r="J290" s="147"/>
    </row>
    <row r="291" spans="1:10">
      <c r="A291" s="70" t="s">
        <v>151</v>
      </c>
      <c r="B291" s="15"/>
      <c r="C291" s="16" t="s">
        <v>442</v>
      </c>
      <c r="D291" s="12">
        <v>5500</v>
      </c>
      <c r="E291" s="12"/>
      <c r="F291" s="8">
        <f t="shared" si="60"/>
        <v>5500</v>
      </c>
      <c r="G291" s="12">
        <v>0</v>
      </c>
      <c r="H291" s="8">
        <f t="shared" si="61"/>
        <v>5500</v>
      </c>
      <c r="I291" s="147"/>
      <c r="J291" s="147"/>
    </row>
    <row r="292" spans="1:10" s="37" customFormat="1" hidden="1">
      <c r="A292" s="14" t="s">
        <v>157</v>
      </c>
      <c r="B292" s="15" t="s">
        <v>2</v>
      </c>
      <c r="C292" s="16" t="s">
        <v>173</v>
      </c>
      <c r="D292" s="12">
        <f>+D294</f>
        <v>20700</v>
      </c>
      <c r="E292" s="12"/>
      <c r="F292" s="8">
        <f t="shared" si="60"/>
        <v>20700</v>
      </c>
      <c r="G292" s="12">
        <f>G294</f>
        <v>1600</v>
      </c>
      <c r="H292" s="8">
        <f t="shared" si="61"/>
        <v>19100</v>
      </c>
      <c r="I292" s="163"/>
      <c r="J292" s="163"/>
    </row>
    <row r="293" spans="1:10" s="36" customFormat="1">
      <c r="A293" s="70" t="s">
        <v>158</v>
      </c>
      <c r="B293" s="15" t="s">
        <v>2</v>
      </c>
      <c r="C293" s="16" t="s">
        <v>485</v>
      </c>
      <c r="D293" s="12">
        <v>0</v>
      </c>
      <c r="E293" s="12"/>
      <c r="F293" s="8">
        <v>4000</v>
      </c>
      <c r="G293" s="12"/>
      <c r="H293" s="8">
        <f t="shared" si="61"/>
        <v>4000</v>
      </c>
      <c r="I293" s="158"/>
      <c r="J293" s="158"/>
    </row>
    <row r="294" spans="1:10" s="36" customFormat="1">
      <c r="A294" s="14" t="s">
        <v>158</v>
      </c>
      <c r="B294" s="15" t="s">
        <v>2</v>
      </c>
      <c r="C294" s="16" t="s">
        <v>443</v>
      </c>
      <c r="D294" s="12">
        <v>20700</v>
      </c>
      <c r="E294" s="12"/>
      <c r="F294" s="8">
        <v>30700</v>
      </c>
      <c r="G294" s="12">
        <v>1600</v>
      </c>
      <c r="H294" s="8">
        <f t="shared" si="61"/>
        <v>29100</v>
      </c>
      <c r="I294" s="158"/>
      <c r="J294" s="158"/>
    </row>
    <row r="295" spans="1:10" s="34" customFormat="1" ht="34.5" hidden="1">
      <c r="A295" s="174" t="s">
        <v>170</v>
      </c>
      <c r="B295" s="175"/>
      <c r="C295" s="172" t="s">
        <v>225</v>
      </c>
      <c r="D295" s="180">
        <f>D296+D299</f>
        <v>0</v>
      </c>
      <c r="E295" s="180"/>
      <c r="F295" s="17">
        <f t="shared" si="60"/>
        <v>0</v>
      </c>
      <c r="G295" s="180">
        <f>G296+G299</f>
        <v>0</v>
      </c>
      <c r="H295" s="17">
        <f t="shared" ref="H295:H304" si="63">F295-G295</f>
        <v>0</v>
      </c>
      <c r="I295" s="166"/>
      <c r="J295" s="166"/>
    </row>
    <row r="296" spans="1:10" s="32" customFormat="1" hidden="1">
      <c r="A296" s="49" t="s">
        <v>133</v>
      </c>
      <c r="B296" s="50"/>
      <c r="C296" s="48" t="s">
        <v>226</v>
      </c>
      <c r="D296" s="181">
        <f>D297</f>
        <v>0</v>
      </c>
      <c r="E296" s="181"/>
      <c r="F296" s="17">
        <f t="shared" si="60"/>
        <v>0</v>
      </c>
      <c r="G296" s="181">
        <f>G297</f>
        <v>0</v>
      </c>
      <c r="H296" s="17">
        <f t="shared" si="63"/>
        <v>0</v>
      </c>
      <c r="I296" s="165"/>
      <c r="J296" s="165"/>
    </row>
    <row r="297" spans="1:10" s="32" customFormat="1" hidden="1">
      <c r="A297" s="49" t="s">
        <v>147</v>
      </c>
      <c r="B297" s="50"/>
      <c r="C297" s="48" t="s">
        <v>227</v>
      </c>
      <c r="D297" s="181">
        <f>D298</f>
        <v>0</v>
      </c>
      <c r="E297" s="181"/>
      <c r="F297" s="17">
        <f t="shared" si="60"/>
        <v>0</v>
      </c>
      <c r="G297" s="181">
        <f>G298</f>
        <v>0</v>
      </c>
      <c r="H297" s="17">
        <f t="shared" si="63"/>
        <v>0</v>
      </c>
      <c r="I297" s="165"/>
      <c r="J297" s="165"/>
    </row>
    <row r="298" spans="1:10" s="32" customFormat="1" hidden="1">
      <c r="A298" s="49" t="s">
        <v>155</v>
      </c>
      <c r="B298" s="50"/>
      <c r="C298" s="48" t="s">
        <v>228</v>
      </c>
      <c r="D298" s="181">
        <v>0</v>
      </c>
      <c r="E298" s="181"/>
      <c r="F298" s="17">
        <f t="shared" si="60"/>
        <v>0</v>
      </c>
      <c r="G298" s="181">
        <v>0</v>
      </c>
      <c r="H298" s="17">
        <f t="shared" si="63"/>
        <v>0</v>
      </c>
      <c r="I298" s="165"/>
      <c r="J298" s="165"/>
    </row>
    <row r="299" spans="1:10" s="32" customFormat="1" hidden="1">
      <c r="A299" s="49" t="s">
        <v>157</v>
      </c>
      <c r="B299" s="50" t="s">
        <v>2</v>
      </c>
      <c r="C299" s="48" t="s">
        <v>229</v>
      </c>
      <c r="D299" s="181">
        <f>D300</f>
        <v>0</v>
      </c>
      <c r="E299" s="181"/>
      <c r="F299" s="17">
        <f t="shared" si="60"/>
        <v>0</v>
      </c>
      <c r="G299" s="181">
        <f>G300</f>
        <v>0</v>
      </c>
      <c r="H299" s="17">
        <f t="shared" si="63"/>
        <v>0</v>
      </c>
      <c r="I299" s="165"/>
      <c r="J299" s="165"/>
    </row>
    <row r="300" spans="1:10" s="32" customFormat="1" hidden="1">
      <c r="A300" s="49" t="s">
        <v>174</v>
      </c>
      <c r="B300" s="50" t="s">
        <v>2</v>
      </c>
      <c r="C300" s="48" t="s">
        <v>230</v>
      </c>
      <c r="D300" s="181">
        <v>0</v>
      </c>
      <c r="E300" s="181"/>
      <c r="F300" s="17">
        <f t="shared" si="60"/>
        <v>0</v>
      </c>
      <c r="G300" s="33">
        <v>0</v>
      </c>
      <c r="H300" s="17">
        <f t="shared" si="63"/>
        <v>0</v>
      </c>
      <c r="I300" s="165"/>
      <c r="J300" s="165"/>
    </row>
    <row r="301" spans="1:10" ht="45.75">
      <c r="A301" s="77" t="s">
        <v>336</v>
      </c>
      <c r="B301" s="152"/>
      <c r="C301" s="153" t="s">
        <v>444</v>
      </c>
      <c r="D301" s="17">
        <f t="shared" ref="D301:G303" si="64">D302</f>
        <v>20000</v>
      </c>
      <c r="E301" s="17"/>
      <c r="F301" s="17">
        <f t="shared" si="60"/>
        <v>20000</v>
      </c>
      <c r="G301" s="17">
        <f t="shared" si="64"/>
        <v>0</v>
      </c>
      <c r="H301" s="17">
        <f t="shared" si="63"/>
        <v>20000</v>
      </c>
      <c r="I301" s="147"/>
      <c r="J301" s="147"/>
    </row>
    <row r="302" spans="1:10" s="37" customFormat="1" hidden="1">
      <c r="A302" s="14" t="s">
        <v>133</v>
      </c>
      <c r="B302" s="15"/>
      <c r="C302" s="43" t="s">
        <v>217</v>
      </c>
      <c r="D302" s="12">
        <f t="shared" si="64"/>
        <v>20000</v>
      </c>
      <c r="E302" s="12"/>
      <c r="F302" s="17">
        <f t="shared" si="60"/>
        <v>20000</v>
      </c>
      <c r="G302" s="12">
        <f t="shared" si="64"/>
        <v>0</v>
      </c>
      <c r="H302" s="17">
        <f t="shared" si="63"/>
        <v>20000</v>
      </c>
      <c r="I302" s="163"/>
      <c r="J302" s="163"/>
    </row>
    <row r="303" spans="1:10" s="37" customFormat="1" hidden="1">
      <c r="A303" s="14" t="s">
        <v>147</v>
      </c>
      <c r="B303" s="15"/>
      <c r="C303" s="43" t="s">
        <v>218</v>
      </c>
      <c r="D303" s="12">
        <f t="shared" si="64"/>
        <v>20000</v>
      </c>
      <c r="E303" s="12"/>
      <c r="F303" s="17">
        <f t="shared" si="60"/>
        <v>20000</v>
      </c>
      <c r="G303" s="12">
        <f t="shared" si="64"/>
        <v>0</v>
      </c>
      <c r="H303" s="17">
        <f t="shared" si="63"/>
        <v>20000</v>
      </c>
      <c r="I303" s="163"/>
      <c r="J303" s="163"/>
    </row>
    <row r="304" spans="1:10" s="37" customFormat="1" ht="15.75" customHeight="1">
      <c r="A304" s="14" t="s">
        <v>155</v>
      </c>
      <c r="B304" s="13"/>
      <c r="C304" s="43" t="s">
        <v>445</v>
      </c>
      <c r="D304" s="8">
        <v>20000</v>
      </c>
      <c r="E304" s="8"/>
      <c r="F304" s="17">
        <f t="shared" si="60"/>
        <v>20000</v>
      </c>
      <c r="G304" s="8">
        <v>0</v>
      </c>
      <c r="H304" s="8">
        <f t="shared" si="63"/>
        <v>20000</v>
      </c>
      <c r="I304" s="182" t="s">
        <v>337</v>
      </c>
      <c r="J304" s="163"/>
    </row>
    <row r="305" spans="1:10" s="37" customFormat="1" ht="15" customHeight="1">
      <c r="A305" s="319" t="s">
        <v>338</v>
      </c>
      <c r="B305" s="319"/>
      <c r="C305" s="319"/>
      <c r="D305" s="319"/>
      <c r="E305" s="319"/>
      <c r="F305" s="319"/>
      <c r="G305" s="319"/>
      <c r="H305" s="319"/>
      <c r="I305" s="182"/>
      <c r="J305" s="163"/>
    </row>
    <row r="306" spans="1:10" s="36" customFormat="1" ht="26.25" customHeight="1">
      <c r="A306" s="77" t="s">
        <v>339</v>
      </c>
      <c r="B306" s="152" t="s">
        <v>2</v>
      </c>
      <c r="C306" s="153" t="s">
        <v>488</v>
      </c>
      <c r="D306" s="17">
        <f t="shared" ref="D306:G308" si="65">D307</f>
        <v>173200</v>
      </c>
      <c r="E306" s="17">
        <f t="shared" si="65"/>
        <v>0</v>
      </c>
      <c r="F306" s="17">
        <f>F309</f>
        <v>138600</v>
      </c>
      <c r="G306" s="17">
        <f t="shared" si="65"/>
        <v>0</v>
      </c>
      <c r="H306" s="17">
        <f>F306-G306</f>
        <v>138600</v>
      </c>
      <c r="I306" s="158"/>
      <c r="J306" s="158"/>
    </row>
    <row r="307" spans="1:10" s="36" customFormat="1" hidden="1">
      <c r="A307" s="14" t="s">
        <v>133</v>
      </c>
      <c r="B307" s="15" t="s">
        <v>2</v>
      </c>
      <c r="C307" s="16" t="s">
        <v>175</v>
      </c>
      <c r="D307" s="12">
        <f t="shared" si="65"/>
        <v>173200</v>
      </c>
      <c r="E307" s="12"/>
      <c r="F307" s="17">
        <f t="shared" ref="F307:F365" si="66">D307+E307</f>
        <v>173200</v>
      </c>
      <c r="G307" s="12">
        <f t="shared" si="65"/>
        <v>0</v>
      </c>
      <c r="H307" s="17">
        <f t="shared" ref="H307:H370" si="67">F307-G307</f>
        <v>173200</v>
      </c>
      <c r="I307" s="158"/>
      <c r="J307" s="158"/>
    </row>
    <row r="308" spans="1:10" s="36" customFormat="1" hidden="1">
      <c r="A308" s="14" t="s">
        <v>147</v>
      </c>
      <c r="B308" s="15" t="s">
        <v>2</v>
      </c>
      <c r="C308" s="16" t="s">
        <v>176</v>
      </c>
      <c r="D308" s="12">
        <f t="shared" si="65"/>
        <v>173200</v>
      </c>
      <c r="E308" s="12"/>
      <c r="F308" s="17">
        <f t="shared" si="66"/>
        <v>173200</v>
      </c>
      <c r="G308" s="12">
        <f t="shared" si="65"/>
        <v>0</v>
      </c>
      <c r="H308" s="17">
        <f t="shared" si="67"/>
        <v>173200</v>
      </c>
      <c r="I308" s="158"/>
      <c r="J308" s="158"/>
    </row>
    <row r="309" spans="1:10" s="36" customFormat="1">
      <c r="A309" s="14" t="s">
        <v>155</v>
      </c>
      <c r="B309" s="15" t="s">
        <v>2</v>
      </c>
      <c r="C309" s="16" t="s">
        <v>487</v>
      </c>
      <c r="D309" s="12">
        <v>173200</v>
      </c>
      <c r="E309" s="12"/>
      <c r="F309" s="8">
        <v>138600</v>
      </c>
      <c r="G309" s="12"/>
      <c r="H309" s="8">
        <f t="shared" si="67"/>
        <v>138600</v>
      </c>
      <c r="I309" s="158"/>
      <c r="J309" s="158"/>
    </row>
    <row r="310" spans="1:10" s="36" customFormat="1" ht="45.75">
      <c r="A310" s="77" t="s">
        <v>340</v>
      </c>
      <c r="B310" s="152" t="s">
        <v>2</v>
      </c>
      <c r="C310" s="153" t="s">
        <v>446</v>
      </c>
      <c r="D310" s="17">
        <f t="shared" ref="D310:G312" si="68">D311</f>
        <v>180</v>
      </c>
      <c r="E310" s="17"/>
      <c r="F310" s="17">
        <f>F313</f>
        <v>1386</v>
      </c>
      <c r="G310" s="17"/>
      <c r="H310" s="17">
        <f t="shared" si="67"/>
        <v>1386</v>
      </c>
      <c r="I310" s="158"/>
      <c r="J310" s="158"/>
    </row>
    <row r="311" spans="1:10" s="36" customFormat="1" hidden="1">
      <c r="A311" s="14" t="s">
        <v>133</v>
      </c>
      <c r="B311" s="15" t="s">
        <v>2</v>
      </c>
      <c r="C311" s="16" t="s">
        <v>177</v>
      </c>
      <c r="D311" s="12">
        <f t="shared" si="68"/>
        <v>180</v>
      </c>
      <c r="E311" s="12"/>
      <c r="F311" s="17">
        <f t="shared" si="66"/>
        <v>180</v>
      </c>
      <c r="G311" s="12">
        <f t="shared" si="68"/>
        <v>0</v>
      </c>
      <c r="H311" s="17">
        <f t="shared" si="67"/>
        <v>180</v>
      </c>
      <c r="I311" s="158"/>
      <c r="J311" s="158"/>
    </row>
    <row r="312" spans="1:10" s="36" customFormat="1" hidden="1">
      <c r="A312" s="14" t="s">
        <v>147</v>
      </c>
      <c r="B312" s="15" t="s">
        <v>2</v>
      </c>
      <c r="C312" s="16" t="s">
        <v>178</v>
      </c>
      <c r="D312" s="12">
        <f t="shared" si="68"/>
        <v>180</v>
      </c>
      <c r="E312" s="12"/>
      <c r="F312" s="17">
        <f t="shared" si="66"/>
        <v>180</v>
      </c>
      <c r="G312" s="12">
        <f t="shared" si="68"/>
        <v>0</v>
      </c>
      <c r="H312" s="17">
        <f t="shared" si="67"/>
        <v>180</v>
      </c>
      <c r="I312" s="158"/>
      <c r="J312" s="158"/>
    </row>
    <row r="313" spans="1:10" s="36" customFormat="1">
      <c r="A313" s="14" t="s">
        <v>155</v>
      </c>
      <c r="B313" s="15" t="s">
        <v>2</v>
      </c>
      <c r="C313" s="16" t="s">
        <v>447</v>
      </c>
      <c r="D313" s="12">
        <v>180</v>
      </c>
      <c r="E313" s="12"/>
      <c r="F313" s="8">
        <v>1386</v>
      </c>
      <c r="G313" s="12"/>
      <c r="H313" s="8">
        <f t="shared" si="67"/>
        <v>1386</v>
      </c>
      <c r="I313" s="158"/>
      <c r="J313" s="158"/>
    </row>
    <row r="314" spans="1:10" s="36" customFormat="1" hidden="1">
      <c r="A314" s="14"/>
      <c r="B314" s="15"/>
      <c r="C314" s="16"/>
      <c r="D314" s="12"/>
      <c r="E314" s="12"/>
      <c r="F314" s="17">
        <f t="shared" si="66"/>
        <v>0</v>
      </c>
      <c r="G314" s="12"/>
      <c r="H314" s="17">
        <f t="shared" si="67"/>
        <v>0</v>
      </c>
      <c r="I314" s="158"/>
      <c r="J314" s="158"/>
    </row>
    <row r="315" spans="1:10" s="36" customFormat="1" ht="26.25" customHeight="1">
      <c r="A315" s="77" t="s">
        <v>339</v>
      </c>
      <c r="B315" s="152" t="s">
        <v>2</v>
      </c>
      <c r="C315" s="153" t="s">
        <v>486</v>
      </c>
      <c r="D315" s="17">
        <f t="shared" ref="D315:G317" si="69">D316</f>
        <v>0</v>
      </c>
      <c r="E315" s="17">
        <f t="shared" si="69"/>
        <v>0</v>
      </c>
      <c r="F315" s="17">
        <v>13600</v>
      </c>
      <c r="G315" s="17">
        <f t="shared" si="69"/>
        <v>0</v>
      </c>
      <c r="H315" s="17">
        <f t="shared" si="67"/>
        <v>13600</v>
      </c>
      <c r="I315" s="158"/>
      <c r="J315" s="158"/>
    </row>
    <row r="316" spans="1:10" s="36" customFormat="1" hidden="1">
      <c r="A316" s="14" t="s">
        <v>133</v>
      </c>
      <c r="B316" s="15" t="s">
        <v>2</v>
      </c>
      <c r="C316" s="16" t="s">
        <v>175</v>
      </c>
      <c r="D316" s="12">
        <f t="shared" si="69"/>
        <v>0</v>
      </c>
      <c r="E316" s="12"/>
      <c r="F316" s="17">
        <f t="shared" ref="F316:F317" si="70">D316+E316</f>
        <v>0</v>
      </c>
      <c r="G316" s="12">
        <f t="shared" si="69"/>
        <v>0</v>
      </c>
      <c r="H316" s="17">
        <f t="shared" si="67"/>
        <v>0</v>
      </c>
      <c r="I316" s="158"/>
      <c r="J316" s="158"/>
    </row>
    <row r="317" spans="1:10" s="36" customFormat="1" hidden="1">
      <c r="A317" s="14" t="s">
        <v>147</v>
      </c>
      <c r="B317" s="15" t="s">
        <v>2</v>
      </c>
      <c r="C317" s="16" t="s">
        <v>176</v>
      </c>
      <c r="D317" s="12">
        <f t="shared" si="69"/>
        <v>0</v>
      </c>
      <c r="E317" s="12"/>
      <c r="F317" s="17">
        <f t="shared" si="70"/>
        <v>0</v>
      </c>
      <c r="G317" s="12">
        <f t="shared" si="69"/>
        <v>0</v>
      </c>
      <c r="H317" s="17">
        <f t="shared" si="67"/>
        <v>0</v>
      </c>
      <c r="I317" s="158"/>
      <c r="J317" s="158"/>
    </row>
    <row r="318" spans="1:10" s="36" customFormat="1">
      <c r="A318" s="14" t="s">
        <v>155</v>
      </c>
      <c r="B318" s="15" t="s">
        <v>2</v>
      </c>
      <c r="C318" s="16" t="s">
        <v>489</v>
      </c>
      <c r="D318" s="12">
        <v>0</v>
      </c>
      <c r="E318" s="12"/>
      <c r="F318" s="8">
        <v>13600</v>
      </c>
      <c r="G318" s="12"/>
      <c r="H318" s="8">
        <f t="shared" si="67"/>
        <v>13600</v>
      </c>
      <c r="I318" s="158"/>
      <c r="J318" s="158"/>
    </row>
    <row r="319" spans="1:10" s="36" customFormat="1" ht="45.75">
      <c r="A319" s="77" t="s">
        <v>340</v>
      </c>
      <c r="B319" s="152" t="s">
        <v>2</v>
      </c>
      <c r="C319" s="153" t="s">
        <v>490</v>
      </c>
      <c r="D319" s="17">
        <f t="shared" ref="D319:G321" si="71">D320</f>
        <v>0</v>
      </c>
      <c r="E319" s="17"/>
      <c r="F319" s="17">
        <f>F322</f>
        <v>2720</v>
      </c>
      <c r="G319" s="17">
        <f t="shared" si="71"/>
        <v>0</v>
      </c>
      <c r="H319" s="17">
        <f t="shared" si="67"/>
        <v>2720</v>
      </c>
      <c r="I319" s="158"/>
      <c r="J319" s="158"/>
    </row>
    <row r="320" spans="1:10" s="36" customFormat="1" hidden="1">
      <c r="A320" s="14" t="s">
        <v>133</v>
      </c>
      <c r="B320" s="15" t="s">
        <v>2</v>
      </c>
      <c r="C320" s="16" t="s">
        <v>177</v>
      </c>
      <c r="D320" s="12">
        <f t="shared" si="71"/>
        <v>0</v>
      </c>
      <c r="E320" s="12"/>
      <c r="F320" s="17">
        <f t="shared" ref="F320:F321" si="72">D320+E320</f>
        <v>0</v>
      </c>
      <c r="G320" s="12">
        <f t="shared" si="71"/>
        <v>0</v>
      </c>
      <c r="H320" s="17">
        <f t="shared" si="67"/>
        <v>0</v>
      </c>
      <c r="I320" s="158"/>
      <c r="J320" s="158"/>
    </row>
    <row r="321" spans="1:10" s="36" customFormat="1" hidden="1">
      <c r="A321" s="14" t="s">
        <v>147</v>
      </c>
      <c r="B321" s="15" t="s">
        <v>2</v>
      </c>
      <c r="C321" s="16" t="s">
        <v>178</v>
      </c>
      <c r="D321" s="12">
        <f t="shared" si="71"/>
        <v>0</v>
      </c>
      <c r="E321" s="12"/>
      <c r="F321" s="17">
        <f t="shared" si="72"/>
        <v>0</v>
      </c>
      <c r="G321" s="12">
        <f t="shared" si="71"/>
        <v>0</v>
      </c>
      <c r="H321" s="17">
        <f t="shared" si="67"/>
        <v>0</v>
      </c>
      <c r="I321" s="158"/>
      <c r="J321" s="158"/>
    </row>
    <row r="322" spans="1:10" s="36" customFormat="1">
      <c r="A322" s="14" t="s">
        <v>155</v>
      </c>
      <c r="B322" s="15" t="s">
        <v>2</v>
      </c>
      <c r="C322" s="16" t="s">
        <v>491</v>
      </c>
      <c r="D322" s="12">
        <v>0</v>
      </c>
      <c r="E322" s="12"/>
      <c r="F322" s="8">
        <v>2720</v>
      </c>
      <c r="G322" s="12"/>
      <c r="H322" s="8">
        <f t="shared" si="67"/>
        <v>2720</v>
      </c>
      <c r="I322" s="158"/>
      <c r="J322" s="158"/>
    </row>
    <row r="323" spans="1:10" ht="29.25" customHeight="1">
      <c r="A323" s="77" t="s">
        <v>341</v>
      </c>
      <c r="B323" s="152" t="s">
        <v>2</v>
      </c>
      <c r="C323" s="153" t="s">
        <v>448</v>
      </c>
      <c r="D323" s="17">
        <f>D324</f>
        <v>124000</v>
      </c>
      <c r="E323" s="17">
        <v>-41310</v>
      </c>
      <c r="F323" s="17">
        <f>F326</f>
        <v>212785</v>
      </c>
      <c r="G323" s="17">
        <f t="shared" ref="D323:G325" si="73">G324</f>
        <v>0</v>
      </c>
      <c r="H323" s="17">
        <f t="shared" si="67"/>
        <v>212785</v>
      </c>
      <c r="I323" s="147">
        <v>100967</v>
      </c>
      <c r="J323" s="147"/>
    </row>
    <row r="324" spans="1:10" s="37" customFormat="1" hidden="1">
      <c r="A324" s="14" t="s">
        <v>133</v>
      </c>
      <c r="B324" s="15" t="s">
        <v>2</v>
      </c>
      <c r="C324" s="16" t="s">
        <v>179</v>
      </c>
      <c r="D324" s="12">
        <f t="shared" si="73"/>
        <v>124000</v>
      </c>
      <c r="E324" s="12"/>
      <c r="F324" s="17">
        <f t="shared" si="66"/>
        <v>124000</v>
      </c>
      <c r="G324" s="12">
        <f t="shared" si="73"/>
        <v>0</v>
      </c>
      <c r="H324" s="17">
        <f t="shared" si="67"/>
        <v>124000</v>
      </c>
      <c r="I324" s="170" t="e">
        <f>I323-#REF!</f>
        <v>#REF!</v>
      </c>
      <c r="J324" s="163"/>
    </row>
    <row r="325" spans="1:10" s="37" customFormat="1" hidden="1">
      <c r="A325" s="14" t="s">
        <v>147</v>
      </c>
      <c r="B325" s="15" t="s">
        <v>2</v>
      </c>
      <c r="C325" s="16" t="s">
        <v>180</v>
      </c>
      <c r="D325" s="12">
        <f t="shared" si="73"/>
        <v>124000</v>
      </c>
      <c r="E325" s="12"/>
      <c r="F325" s="17">
        <f t="shared" si="66"/>
        <v>124000</v>
      </c>
      <c r="G325" s="12">
        <f t="shared" si="73"/>
        <v>0</v>
      </c>
      <c r="H325" s="17">
        <f t="shared" si="67"/>
        <v>124000</v>
      </c>
      <c r="I325" s="163"/>
      <c r="J325" s="163"/>
    </row>
    <row r="326" spans="1:10" s="37" customFormat="1">
      <c r="A326" s="14" t="s">
        <v>155</v>
      </c>
      <c r="B326" s="15" t="s">
        <v>2</v>
      </c>
      <c r="C326" s="16" t="s">
        <v>449</v>
      </c>
      <c r="D326" s="12">
        <v>124000</v>
      </c>
      <c r="E326" s="12">
        <v>-41310</v>
      </c>
      <c r="F326" s="8">
        <v>212785</v>
      </c>
      <c r="G326" s="12">
        <v>0</v>
      </c>
      <c r="H326" s="8">
        <f t="shared" si="67"/>
        <v>212785</v>
      </c>
      <c r="I326" s="17"/>
      <c r="J326" s="163"/>
    </row>
    <row r="327" spans="1:10" s="35" customFormat="1" ht="23.25">
      <c r="A327" s="77" t="s">
        <v>342</v>
      </c>
      <c r="B327" s="152" t="s">
        <v>2</v>
      </c>
      <c r="C327" s="153" t="s">
        <v>450</v>
      </c>
      <c r="D327" s="21">
        <f t="shared" ref="D327:G329" si="74">D328</f>
        <v>40000</v>
      </c>
      <c r="E327" s="21">
        <f t="shared" si="74"/>
        <v>0</v>
      </c>
      <c r="F327" s="21">
        <f t="shared" si="74"/>
        <v>40000</v>
      </c>
      <c r="G327" s="21"/>
      <c r="H327" s="17">
        <f t="shared" si="67"/>
        <v>40000</v>
      </c>
      <c r="I327" s="164"/>
      <c r="J327" s="164"/>
    </row>
    <row r="328" spans="1:10" s="36" customFormat="1" hidden="1">
      <c r="A328" s="14" t="s">
        <v>133</v>
      </c>
      <c r="B328" s="13"/>
      <c r="C328" s="43" t="s">
        <v>267</v>
      </c>
      <c r="D328" s="12">
        <f t="shared" si="74"/>
        <v>40000</v>
      </c>
      <c r="E328" s="12"/>
      <c r="F328" s="17">
        <f t="shared" si="66"/>
        <v>40000</v>
      </c>
      <c r="G328" s="12">
        <f t="shared" si="74"/>
        <v>0</v>
      </c>
      <c r="H328" s="17">
        <f t="shared" si="67"/>
        <v>40000</v>
      </c>
      <c r="I328" s="158"/>
      <c r="J328" s="158"/>
    </row>
    <row r="329" spans="1:10" s="36" customFormat="1" hidden="1">
      <c r="A329" s="14" t="s">
        <v>147</v>
      </c>
      <c r="B329" s="15"/>
      <c r="C329" s="43" t="s">
        <v>268</v>
      </c>
      <c r="D329" s="12">
        <f t="shared" si="74"/>
        <v>40000</v>
      </c>
      <c r="E329" s="12"/>
      <c r="F329" s="17">
        <f t="shared" si="66"/>
        <v>40000</v>
      </c>
      <c r="G329" s="12">
        <f t="shared" si="74"/>
        <v>0</v>
      </c>
      <c r="H329" s="17">
        <f t="shared" si="67"/>
        <v>40000</v>
      </c>
      <c r="I329" s="158"/>
      <c r="J329" s="158"/>
    </row>
    <row r="330" spans="1:10" s="36" customFormat="1" ht="15.75" customHeight="1">
      <c r="A330" s="14" t="s">
        <v>151</v>
      </c>
      <c r="B330" s="15"/>
      <c r="C330" s="43" t="s">
        <v>451</v>
      </c>
      <c r="D330" s="12">
        <v>40000</v>
      </c>
      <c r="E330" s="12">
        <v>40000</v>
      </c>
      <c r="F330" s="12">
        <v>40000</v>
      </c>
      <c r="G330" s="12">
        <v>0</v>
      </c>
      <c r="H330" s="17">
        <f t="shared" si="67"/>
        <v>40000</v>
      </c>
      <c r="I330" s="158"/>
      <c r="J330" s="158"/>
    </row>
    <row r="331" spans="1:10">
      <c r="A331" s="77" t="s">
        <v>343</v>
      </c>
      <c r="B331" s="152" t="s">
        <v>2</v>
      </c>
      <c r="C331" s="153" t="s">
        <v>452</v>
      </c>
      <c r="D331" s="17">
        <f>D332</f>
        <v>3000</v>
      </c>
      <c r="E331" s="17"/>
      <c r="F331" s="17">
        <f t="shared" si="66"/>
        <v>3000</v>
      </c>
      <c r="G331" s="17">
        <f t="shared" ref="D331:G333" si="75">G332</f>
        <v>0</v>
      </c>
      <c r="H331" s="17">
        <f t="shared" si="67"/>
        <v>3000</v>
      </c>
      <c r="I331" s="147"/>
      <c r="J331" s="147"/>
    </row>
    <row r="332" spans="1:10" s="37" customFormat="1" hidden="1">
      <c r="A332" s="14" t="s">
        <v>133</v>
      </c>
      <c r="B332" s="15" t="s">
        <v>2</v>
      </c>
      <c r="C332" s="16" t="s">
        <v>181</v>
      </c>
      <c r="D332" s="12">
        <f t="shared" si="75"/>
        <v>3000</v>
      </c>
      <c r="E332" s="12"/>
      <c r="F332" s="17">
        <f t="shared" si="66"/>
        <v>3000</v>
      </c>
      <c r="G332" s="12">
        <f t="shared" si="75"/>
        <v>0</v>
      </c>
      <c r="H332" s="17">
        <f t="shared" si="67"/>
        <v>3000</v>
      </c>
      <c r="I332" s="163"/>
      <c r="J332" s="163"/>
    </row>
    <row r="333" spans="1:10" s="37" customFormat="1" hidden="1">
      <c r="A333" s="14" t="s">
        <v>147</v>
      </c>
      <c r="B333" s="15" t="s">
        <v>2</v>
      </c>
      <c r="C333" s="16" t="s">
        <v>182</v>
      </c>
      <c r="D333" s="12">
        <f t="shared" si="75"/>
        <v>3000</v>
      </c>
      <c r="E333" s="12"/>
      <c r="F333" s="17">
        <f t="shared" si="66"/>
        <v>3000</v>
      </c>
      <c r="G333" s="12">
        <f t="shared" si="75"/>
        <v>0</v>
      </c>
      <c r="H333" s="17">
        <f t="shared" si="67"/>
        <v>3000</v>
      </c>
      <c r="I333" s="163"/>
      <c r="J333" s="163"/>
    </row>
    <row r="334" spans="1:10" s="37" customFormat="1">
      <c r="A334" s="14" t="s">
        <v>151</v>
      </c>
      <c r="B334" s="15" t="s">
        <v>2</v>
      </c>
      <c r="C334" s="16" t="s">
        <v>453</v>
      </c>
      <c r="D334" s="12">
        <v>3000</v>
      </c>
      <c r="E334" s="12"/>
      <c r="F334" s="8">
        <f t="shared" si="66"/>
        <v>3000</v>
      </c>
      <c r="G334" s="12">
        <v>0</v>
      </c>
      <c r="H334" s="8">
        <f t="shared" si="67"/>
        <v>3000</v>
      </c>
      <c r="I334" s="163"/>
      <c r="J334" s="163"/>
    </row>
    <row r="335" spans="1:10">
      <c r="A335" s="77" t="s">
        <v>344</v>
      </c>
      <c r="B335" s="152" t="s">
        <v>2</v>
      </c>
      <c r="C335" s="153" t="s">
        <v>454</v>
      </c>
      <c r="D335" s="17">
        <v>1000</v>
      </c>
      <c r="E335" s="17"/>
      <c r="F335" s="17">
        <f t="shared" si="66"/>
        <v>1000</v>
      </c>
      <c r="G335" s="17">
        <v>0</v>
      </c>
      <c r="H335" s="17">
        <f t="shared" si="67"/>
        <v>1000</v>
      </c>
      <c r="I335" s="147"/>
      <c r="J335" s="147"/>
    </row>
    <row r="336" spans="1:10" s="37" customFormat="1" hidden="1">
      <c r="A336" s="14" t="s">
        <v>133</v>
      </c>
      <c r="B336" s="15" t="s">
        <v>2</v>
      </c>
      <c r="C336" s="16" t="s">
        <v>183</v>
      </c>
      <c r="D336" s="12">
        <v>1000</v>
      </c>
      <c r="E336" s="12"/>
      <c r="F336" s="17">
        <f t="shared" si="66"/>
        <v>1000</v>
      </c>
      <c r="G336" s="12">
        <v>0</v>
      </c>
      <c r="H336" s="17">
        <f t="shared" si="67"/>
        <v>1000</v>
      </c>
      <c r="I336" s="163"/>
      <c r="J336" s="163"/>
    </row>
    <row r="337" spans="1:246" s="37" customFormat="1" hidden="1">
      <c r="A337" s="14" t="s">
        <v>147</v>
      </c>
      <c r="B337" s="15" t="s">
        <v>2</v>
      </c>
      <c r="C337" s="16" t="s">
        <v>184</v>
      </c>
      <c r="D337" s="12">
        <v>1000</v>
      </c>
      <c r="E337" s="12"/>
      <c r="F337" s="17">
        <f t="shared" si="66"/>
        <v>1000</v>
      </c>
      <c r="G337" s="12">
        <v>0</v>
      </c>
      <c r="H337" s="17">
        <f t="shared" si="67"/>
        <v>1000</v>
      </c>
      <c r="I337" s="163"/>
      <c r="J337" s="163"/>
    </row>
    <row r="338" spans="1:246" s="37" customFormat="1">
      <c r="A338" s="14" t="s">
        <v>155</v>
      </c>
      <c r="B338" s="15" t="s">
        <v>2</v>
      </c>
      <c r="C338" s="16" t="s">
        <v>455</v>
      </c>
      <c r="D338" s="12">
        <v>1000</v>
      </c>
      <c r="E338" s="12"/>
      <c r="F338" s="8">
        <f t="shared" si="66"/>
        <v>1000</v>
      </c>
      <c r="G338" s="12">
        <v>0</v>
      </c>
      <c r="H338" s="8">
        <f t="shared" si="67"/>
        <v>1000</v>
      </c>
      <c r="I338" s="163"/>
      <c r="J338" s="163"/>
    </row>
    <row r="339" spans="1:246">
      <c r="A339" s="77" t="s">
        <v>345</v>
      </c>
      <c r="B339" s="152" t="s">
        <v>2</v>
      </c>
      <c r="C339" s="153" t="s">
        <v>456</v>
      </c>
      <c r="D339" s="17">
        <f>D340</f>
        <v>278760</v>
      </c>
      <c r="E339" s="17">
        <f t="shared" ref="E339:F339" si="76">E340</f>
        <v>0</v>
      </c>
      <c r="F339" s="17">
        <f t="shared" si="76"/>
        <v>278760</v>
      </c>
      <c r="G339" s="17">
        <f>G340</f>
        <v>65498.54</v>
      </c>
      <c r="H339" s="17">
        <f t="shared" si="67"/>
        <v>213261.46</v>
      </c>
      <c r="I339" s="147"/>
      <c r="J339" s="147"/>
    </row>
    <row r="340" spans="1:246" s="37" customFormat="1" hidden="1">
      <c r="A340" s="14" t="s">
        <v>133</v>
      </c>
      <c r="B340" s="15" t="s">
        <v>2</v>
      </c>
      <c r="C340" s="16" t="s">
        <v>186</v>
      </c>
      <c r="D340" s="12">
        <f>D341</f>
        <v>278760</v>
      </c>
      <c r="E340" s="12"/>
      <c r="F340" s="17">
        <f t="shared" si="66"/>
        <v>278760</v>
      </c>
      <c r="G340" s="12">
        <f>G341</f>
        <v>65498.54</v>
      </c>
      <c r="H340" s="17">
        <f t="shared" si="67"/>
        <v>213261.46</v>
      </c>
      <c r="I340" s="163"/>
      <c r="J340" s="163"/>
    </row>
    <row r="341" spans="1:246" s="37" customFormat="1" ht="23.25" hidden="1">
      <c r="A341" s="14" t="s">
        <v>135</v>
      </c>
      <c r="B341" s="15" t="s">
        <v>2</v>
      </c>
      <c r="C341" s="16" t="s">
        <v>187</v>
      </c>
      <c r="D341" s="12">
        <f>D342+D343</f>
        <v>278760</v>
      </c>
      <c r="E341" s="12"/>
      <c r="F341" s="17">
        <f t="shared" si="66"/>
        <v>278760</v>
      </c>
      <c r="G341" s="12">
        <f>G342+G343</f>
        <v>65498.54</v>
      </c>
      <c r="H341" s="17">
        <f t="shared" si="67"/>
        <v>213261.46</v>
      </c>
      <c r="I341" s="163"/>
      <c r="J341" s="163"/>
    </row>
    <row r="342" spans="1:246" s="37" customFormat="1">
      <c r="A342" s="14" t="s">
        <v>137</v>
      </c>
      <c r="B342" s="15" t="s">
        <v>2</v>
      </c>
      <c r="C342" s="16" t="s">
        <v>457</v>
      </c>
      <c r="D342" s="12">
        <v>214102</v>
      </c>
      <c r="E342" s="12">
        <v>214102</v>
      </c>
      <c r="F342" s="12">
        <v>214102</v>
      </c>
      <c r="G342" s="12">
        <v>50415.1</v>
      </c>
      <c r="H342" s="8">
        <f t="shared" si="67"/>
        <v>163686.9</v>
      </c>
      <c r="I342" s="163"/>
      <c r="J342" s="163"/>
    </row>
    <row r="343" spans="1:246" s="37" customFormat="1">
      <c r="A343" s="14" t="s">
        <v>138</v>
      </c>
      <c r="B343" s="15" t="s">
        <v>2</v>
      </c>
      <c r="C343" s="16" t="s">
        <v>458</v>
      </c>
      <c r="D343" s="12">
        <v>64658</v>
      </c>
      <c r="E343" s="12">
        <v>64658</v>
      </c>
      <c r="F343" s="12">
        <v>64658</v>
      </c>
      <c r="G343" s="12">
        <v>15083.44</v>
      </c>
      <c r="H343" s="8">
        <f t="shared" si="67"/>
        <v>49574.559999999998</v>
      </c>
      <c r="I343" s="163"/>
      <c r="J343" s="163"/>
    </row>
    <row r="344" spans="1:246">
      <c r="A344" s="77" t="s">
        <v>345</v>
      </c>
      <c r="B344" s="152" t="s">
        <v>2</v>
      </c>
      <c r="C344" s="153" t="s">
        <v>459</v>
      </c>
      <c r="D344" s="17">
        <f>D345+D349</f>
        <v>614200</v>
      </c>
      <c r="E344" s="17"/>
      <c r="F344" s="17">
        <f>F347+F348+F350+F351</f>
        <v>629200</v>
      </c>
      <c r="G344" s="17">
        <f>G345+G349</f>
        <v>120024.69</v>
      </c>
      <c r="H344" s="17">
        <f t="shared" si="67"/>
        <v>509175.31</v>
      </c>
      <c r="I344" s="147"/>
      <c r="J344" s="147"/>
    </row>
    <row r="345" spans="1:246" s="37" customFormat="1" hidden="1">
      <c r="A345" s="14" t="s">
        <v>133</v>
      </c>
      <c r="B345" s="15" t="s">
        <v>2</v>
      </c>
      <c r="C345" s="16" t="s">
        <v>188</v>
      </c>
      <c r="D345" s="12">
        <f>D346</f>
        <v>596923</v>
      </c>
      <c r="E345" s="12"/>
      <c r="F345" s="17">
        <f t="shared" si="66"/>
        <v>596923</v>
      </c>
      <c r="G345" s="12">
        <f>G346</f>
        <v>120024.69</v>
      </c>
      <c r="H345" s="17">
        <f t="shared" si="67"/>
        <v>476898.31</v>
      </c>
      <c r="I345" s="163"/>
      <c r="J345" s="163"/>
    </row>
    <row r="346" spans="1:246" s="37" customFormat="1" hidden="1">
      <c r="A346" s="14" t="s">
        <v>147</v>
      </c>
      <c r="B346" s="15" t="s">
        <v>2</v>
      </c>
      <c r="C346" s="16" t="s">
        <v>189</v>
      </c>
      <c r="D346" s="12">
        <f>D347+D348</f>
        <v>596923</v>
      </c>
      <c r="E346" s="12"/>
      <c r="F346" s="17">
        <f t="shared" si="66"/>
        <v>596923</v>
      </c>
      <c r="G346" s="12">
        <f>G347+G348</f>
        <v>120024.69</v>
      </c>
      <c r="H346" s="17">
        <f t="shared" si="67"/>
        <v>476898.31</v>
      </c>
      <c r="I346" s="163"/>
      <c r="J346" s="163"/>
    </row>
    <row r="347" spans="1:246" s="37" customFormat="1">
      <c r="A347" s="14" t="s">
        <v>346</v>
      </c>
      <c r="B347" s="15" t="s">
        <v>2</v>
      </c>
      <c r="C347" s="16" t="s">
        <v>460</v>
      </c>
      <c r="D347" s="12">
        <v>594200</v>
      </c>
      <c r="E347" s="12"/>
      <c r="F347" s="8">
        <f t="shared" si="66"/>
        <v>594200</v>
      </c>
      <c r="G347" s="12">
        <v>120024.69</v>
      </c>
      <c r="H347" s="8">
        <f t="shared" si="67"/>
        <v>474175.31</v>
      </c>
      <c r="I347" s="163"/>
      <c r="J347" s="163"/>
    </row>
    <row r="348" spans="1:246" s="37" customFormat="1">
      <c r="A348" s="14" t="s">
        <v>151</v>
      </c>
      <c r="B348" s="15"/>
      <c r="C348" s="16" t="s">
        <v>461</v>
      </c>
      <c r="D348" s="12">
        <v>2723</v>
      </c>
      <c r="E348" s="12"/>
      <c r="F348" s="8">
        <f t="shared" si="66"/>
        <v>2723</v>
      </c>
      <c r="G348" s="12"/>
      <c r="H348" s="8">
        <f t="shared" si="67"/>
        <v>2723</v>
      </c>
      <c r="I348" s="163"/>
      <c r="J348" s="163"/>
    </row>
    <row r="349" spans="1:246" s="37" customFormat="1" hidden="1">
      <c r="A349" s="14" t="s">
        <v>157</v>
      </c>
      <c r="B349" s="15"/>
      <c r="C349" s="16" t="s">
        <v>219</v>
      </c>
      <c r="D349" s="12">
        <f>D350+D351</f>
        <v>17277</v>
      </c>
      <c r="E349" s="12"/>
      <c r="F349" s="17">
        <f t="shared" si="66"/>
        <v>17277</v>
      </c>
      <c r="G349" s="12">
        <f>G350+G351</f>
        <v>0</v>
      </c>
      <c r="H349" s="8">
        <f t="shared" si="67"/>
        <v>17277</v>
      </c>
      <c r="I349" s="163"/>
      <c r="J349" s="163"/>
    </row>
    <row r="350" spans="1:246" s="37" customFormat="1">
      <c r="A350" s="14" t="s">
        <v>174</v>
      </c>
      <c r="B350" s="15"/>
      <c r="C350" s="16" t="s">
        <v>462</v>
      </c>
      <c r="D350" s="12">
        <v>7277</v>
      </c>
      <c r="E350" s="12"/>
      <c r="F350" s="8">
        <f t="shared" si="66"/>
        <v>7277</v>
      </c>
      <c r="G350" s="12"/>
      <c r="H350" s="8">
        <f t="shared" si="67"/>
        <v>7277</v>
      </c>
      <c r="I350" s="163"/>
      <c r="J350" s="163"/>
    </row>
    <row r="351" spans="1:246" s="37" customFormat="1">
      <c r="A351" s="14" t="s">
        <v>158</v>
      </c>
      <c r="B351" s="15"/>
      <c r="C351" s="16" t="s">
        <v>463</v>
      </c>
      <c r="D351" s="12">
        <v>10000</v>
      </c>
      <c r="E351" s="12"/>
      <c r="F351" s="8">
        <v>25000</v>
      </c>
      <c r="G351" s="12"/>
      <c r="H351" s="8">
        <f t="shared" si="67"/>
        <v>25000</v>
      </c>
      <c r="I351" s="163"/>
      <c r="J351" s="163"/>
    </row>
    <row r="352" spans="1:246" ht="23.25">
      <c r="A352" s="77" t="s">
        <v>347</v>
      </c>
      <c r="B352" s="152" t="s">
        <v>2</v>
      </c>
      <c r="C352" s="153" t="s">
        <v>464</v>
      </c>
      <c r="D352" s="17">
        <f t="shared" ref="D352:G354" si="77">D353</f>
        <v>20000</v>
      </c>
      <c r="E352" s="17"/>
      <c r="F352" s="17">
        <f t="shared" si="66"/>
        <v>20000</v>
      </c>
      <c r="G352" s="17">
        <f t="shared" si="77"/>
        <v>0</v>
      </c>
      <c r="H352" s="17">
        <f t="shared" si="67"/>
        <v>20000</v>
      </c>
      <c r="I352" s="147"/>
      <c r="J352" s="147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</row>
    <row r="353" spans="1:246" s="37" customFormat="1" hidden="1">
      <c r="A353" s="14" t="s">
        <v>133</v>
      </c>
      <c r="B353" s="15" t="s">
        <v>2</v>
      </c>
      <c r="C353" s="16" t="s">
        <v>190</v>
      </c>
      <c r="D353" s="12">
        <f t="shared" si="77"/>
        <v>20000</v>
      </c>
      <c r="E353" s="12"/>
      <c r="F353" s="17">
        <f t="shared" si="66"/>
        <v>20000</v>
      </c>
      <c r="G353" s="12">
        <f t="shared" si="77"/>
        <v>0</v>
      </c>
      <c r="H353" s="17">
        <f t="shared" si="67"/>
        <v>20000</v>
      </c>
      <c r="I353" s="163"/>
      <c r="J353" s="163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5"/>
      <c r="DN353" s="85"/>
      <c r="DO353" s="85"/>
      <c r="DP353" s="85"/>
      <c r="DQ353" s="85"/>
      <c r="DR353" s="85"/>
      <c r="DS353" s="85"/>
      <c r="DT353" s="85"/>
      <c r="DU353" s="85"/>
      <c r="DV353" s="85"/>
      <c r="DW353" s="85"/>
      <c r="DX353" s="85"/>
      <c r="DY353" s="85"/>
      <c r="DZ353" s="85"/>
      <c r="EA353" s="85"/>
      <c r="EB353" s="85"/>
      <c r="EC353" s="85"/>
      <c r="ED353" s="85"/>
      <c r="EE353" s="85"/>
      <c r="EF353" s="85"/>
      <c r="EG353" s="85"/>
      <c r="EH353" s="85"/>
      <c r="EI353" s="85"/>
      <c r="EJ353" s="85"/>
      <c r="EK353" s="85"/>
      <c r="EL353" s="85"/>
      <c r="EM353" s="85"/>
      <c r="EN353" s="85"/>
      <c r="EO353" s="85"/>
      <c r="EP353" s="85"/>
      <c r="EQ353" s="85"/>
      <c r="ER353" s="85"/>
      <c r="ES353" s="85"/>
      <c r="ET353" s="85"/>
      <c r="EU353" s="85"/>
      <c r="EV353" s="85"/>
      <c r="EW353" s="85"/>
      <c r="EX353" s="85"/>
      <c r="EY353" s="85"/>
      <c r="EZ353" s="85"/>
      <c r="FA353" s="85"/>
      <c r="FB353" s="85"/>
      <c r="FC353" s="85"/>
      <c r="FD353" s="85"/>
      <c r="FE353" s="85"/>
      <c r="FF353" s="85"/>
      <c r="FG353" s="85"/>
      <c r="FH353" s="85"/>
      <c r="FI353" s="85"/>
      <c r="FJ353" s="85"/>
      <c r="FK353" s="85"/>
      <c r="FL353" s="85"/>
      <c r="FM353" s="85"/>
      <c r="FN353" s="85"/>
      <c r="FO353" s="85"/>
      <c r="FP353" s="85"/>
      <c r="FQ353" s="85"/>
      <c r="FR353" s="85"/>
      <c r="FS353" s="85"/>
      <c r="FT353" s="85"/>
      <c r="FU353" s="85"/>
      <c r="FV353" s="85"/>
      <c r="FW353" s="85"/>
      <c r="FX353" s="85"/>
      <c r="FY353" s="85"/>
      <c r="FZ353" s="85"/>
      <c r="GA353" s="85"/>
      <c r="GB353" s="85"/>
      <c r="GC353" s="85"/>
      <c r="GD353" s="85"/>
      <c r="GE353" s="85"/>
      <c r="GF353" s="85"/>
      <c r="GG353" s="85"/>
      <c r="GH353" s="85"/>
      <c r="GI353" s="85"/>
      <c r="GJ353" s="85"/>
      <c r="GK353" s="85"/>
      <c r="GL353" s="85"/>
      <c r="GM353" s="85"/>
      <c r="GN353" s="85"/>
      <c r="GO353" s="85"/>
      <c r="GP353" s="85"/>
      <c r="GQ353" s="85"/>
      <c r="GR353" s="85"/>
      <c r="GS353" s="85"/>
      <c r="GT353" s="85"/>
      <c r="GU353" s="85"/>
      <c r="GV353" s="85"/>
      <c r="GW353" s="85"/>
      <c r="GX353" s="85"/>
      <c r="GY353" s="85"/>
      <c r="GZ353" s="85"/>
      <c r="HA353" s="85"/>
      <c r="HB353" s="85"/>
      <c r="HC353" s="85"/>
      <c r="HD353" s="85"/>
      <c r="HE353" s="85"/>
      <c r="HF353" s="85"/>
      <c r="HG353" s="85"/>
      <c r="HH353" s="85"/>
      <c r="HI353" s="85"/>
      <c r="HJ353" s="85"/>
      <c r="HK353" s="85"/>
      <c r="HL353" s="85"/>
      <c r="HM353" s="85"/>
      <c r="HN353" s="85"/>
      <c r="HO353" s="85"/>
      <c r="HP353" s="85"/>
      <c r="HQ353" s="85"/>
      <c r="HR353" s="85"/>
      <c r="HS353" s="85"/>
      <c r="HT353" s="85"/>
      <c r="HU353" s="85"/>
      <c r="HV353" s="85"/>
      <c r="HW353" s="85"/>
      <c r="HX353" s="85"/>
      <c r="HY353" s="85"/>
      <c r="HZ353" s="85"/>
      <c r="IA353" s="85"/>
      <c r="IB353" s="85"/>
      <c r="IC353" s="85"/>
      <c r="ID353" s="85"/>
      <c r="IE353" s="85"/>
      <c r="IF353" s="85"/>
      <c r="IG353" s="85"/>
      <c r="IH353" s="85"/>
      <c r="II353" s="85"/>
      <c r="IJ353" s="85"/>
      <c r="IK353" s="85"/>
      <c r="IL353" s="85"/>
    </row>
    <row r="354" spans="1:246" s="37" customFormat="1" hidden="1">
      <c r="A354" s="14" t="s">
        <v>147</v>
      </c>
      <c r="B354" s="15" t="s">
        <v>2</v>
      </c>
      <c r="C354" s="16" t="s">
        <v>191</v>
      </c>
      <c r="D354" s="12">
        <f t="shared" si="77"/>
        <v>20000</v>
      </c>
      <c r="E354" s="12"/>
      <c r="F354" s="17">
        <f t="shared" si="66"/>
        <v>20000</v>
      </c>
      <c r="G354" s="12">
        <f t="shared" si="77"/>
        <v>0</v>
      </c>
      <c r="H354" s="17">
        <f t="shared" si="67"/>
        <v>20000</v>
      </c>
      <c r="I354" s="163"/>
      <c r="J354" s="163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  <c r="DK354" s="85"/>
      <c r="DL354" s="85"/>
      <c r="DM354" s="85"/>
      <c r="DN354" s="85"/>
      <c r="DO354" s="85"/>
      <c r="DP354" s="85"/>
      <c r="DQ354" s="85"/>
      <c r="DR354" s="85"/>
      <c r="DS354" s="85"/>
      <c r="DT354" s="85"/>
      <c r="DU354" s="85"/>
      <c r="DV354" s="85"/>
      <c r="DW354" s="85"/>
      <c r="DX354" s="85"/>
      <c r="DY354" s="85"/>
      <c r="DZ354" s="85"/>
      <c r="EA354" s="85"/>
      <c r="EB354" s="85"/>
      <c r="EC354" s="85"/>
      <c r="ED354" s="85"/>
      <c r="EE354" s="85"/>
      <c r="EF354" s="85"/>
      <c r="EG354" s="85"/>
      <c r="EH354" s="85"/>
      <c r="EI354" s="85"/>
      <c r="EJ354" s="85"/>
      <c r="EK354" s="85"/>
      <c r="EL354" s="85"/>
      <c r="EM354" s="85"/>
      <c r="EN354" s="85"/>
      <c r="EO354" s="85"/>
      <c r="EP354" s="85"/>
      <c r="EQ354" s="85"/>
      <c r="ER354" s="85"/>
      <c r="ES354" s="85"/>
      <c r="ET354" s="85"/>
      <c r="EU354" s="85"/>
      <c r="EV354" s="85"/>
      <c r="EW354" s="85"/>
      <c r="EX354" s="85"/>
      <c r="EY354" s="85"/>
      <c r="EZ354" s="85"/>
      <c r="FA354" s="85"/>
      <c r="FB354" s="85"/>
      <c r="FC354" s="85"/>
      <c r="FD354" s="85"/>
      <c r="FE354" s="85"/>
      <c r="FF354" s="85"/>
      <c r="FG354" s="85"/>
      <c r="FH354" s="85"/>
      <c r="FI354" s="85"/>
      <c r="FJ354" s="85"/>
      <c r="FK354" s="85"/>
      <c r="FL354" s="85"/>
      <c r="FM354" s="85"/>
      <c r="FN354" s="85"/>
      <c r="FO354" s="85"/>
      <c r="FP354" s="85"/>
      <c r="FQ354" s="85"/>
      <c r="FR354" s="85"/>
      <c r="FS354" s="85"/>
      <c r="FT354" s="85"/>
      <c r="FU354" s="85"/>
      <c r="FV354" s="85"/>
      <c r="FW354" s="85"/>
      <c r="FX354" s="85"/>
      <c r="FY354" s="85"/>
      <c r="FZ354" s="85"/>
      <c r="GA354" s="85"/>
      <c r="GB354" s="85"/>
      <c r="GC354" s="85"/>
      <c r="GD354" s="85"/>
      <c r="GE354" s="85"/>
      <c r="GF354" s="85"/>
      <c r="GG354" s="85"/>
      <c r="GH354" s="85"/>
      <c r="GI354" s="85"/>
      <c r="GJ354" s="85"/>
      <c r="GK354" s="85"/>
      <c r="GL354" s="85"/>
      <c r="GM354" s="85"/>
      <c r="GN354" s="85"/>
      <c r="GO354" s="85"/>
      <c r="GP354" s="85"/>
      <c r="GQ354" s="85"/>
      <c r="GR354" s="85"/>
      <c r="GS354" s="85"/>
      <c r="GT354" s="85"/>
      <c r="GU354" s="85"/>
      <c r="GV354" s="85"/>
      <c r="GW354" s="85"/>
      <c r="GX354" s="85"/>
      <c r="GY354" s="85"/>
      <c r="GZ354" s="85"/>
      <c r="HA354" s="85"/>
      <c r="HB354" s="85"/>
      <c r="HC354" s="85"/>
      <c r="HD354" s="85"/>
      <c r="HE354" s="85"/>
      <c r="HF354" s="85"/>
      <c r="HG354" s="85"/>
      <c r="HH354" s="85"/>
      <c r="HI354" s="85"/>
      <c r="HJ354" s="85"/>
      <c r="HK354" s="85"/>
      <c r="HL354" s="85"/>
      <c r="HM354" s="85"/>
      <c r="HN354" s="85"/>
      <c r="HO354" s="85"/>
      <c r="HP354" s="85"/>
      <c r="HQ354" s="85"/>
      <c r="HR354" s="85"/>
      <c r="HS354" s="85"/>
      <c r="HT354" s="85"/>
      <c r="HU354" s="85"/>
      <c r="HV354" s="85"/>
      <c r="HW354" s="85"/>
      <c r="HX354" s="85"/>
      <c r="HY354" s="85"/>
      <c r="HZ354" s="85"/>
      <c r="IA354" s="85"/>
      <c r="IB354" s="85"/>
      <c r="IC354" s="85"/>
      <c r="ID354" s="85"/>
      <c r="IE354" s="85"/>
      <c r="IF354" s="85"/>
      <c r="IG354" s="85"/>
      <c r="IH354" s="85"/>
      <c r="II354" s="85"/>
      <c r="IJ354" s="85"/>
      <c r="IK354" s="85"/>
      <c r="IL354" s="85"/>
    </row>
    <row r="355" spans="1:246" s="37" customFormat="1">
      <c r="A355" s="14" t="s">
        <v>155</v>
      </c>
      <c r="B355" s="15" t="s">
        <v>2</v>
      </c>
      <c r="C355" s="16" t="s">
        <v>465</v>
      </c>
      <c r="D355" s="12">
        <v>20000</v>
      </c>
      <c r="E355" s="12"/>
      <c r="F355" s="8">
        <f t="shared" si="66"/>
        <v>20000</v>
      </c>
      <c r="G355" s="12"/>
      <c r="H355" s="8">
        <f t="shared" si="67"/>
        <v>20000</v>
      </c>
      <c r="I355" s="163"/>
      <c r="J355" s="163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  <c r="DK355" s="85"/>
      <c r="DL355" s="85"/>
      <c r="DM355" s="85"/>
      <c r="DN355" s="85"/>
      <c r="DO355" s="85"/>
      <c r="DP355" s="85"/>
      <c r="DQ355" s="85"/>
      <c r="DR355" s="85"/>
      <c r="DS355" s="85"/>
      <c r="DT355" s="85"/>
      <c r="DU355" s="85"/>
      <c r="DV355" s="85"/>
      <c r="DW355" s="85"/>
      <c r="DX355" s="85"/>
      <c r="DY355" s="85"/>
      <c r="DZ355" s="85"/>
      <c r="EA355" s="85"/>
      <c r="EB355" s="85"/>
      <c r="EC355" s="85"/>
      <c r="ED355" s="85"/>
      <c r="EE355" s="85"/>
      <c r="EF355" s="85"/>
      <c r="EG355" s="85"/>
      <c r="EH355" s="85"/>
      <c r="EI355" s="85"/>
      <c r="EJ355" s="85"/>
      <c r="EK355" s="85"/>
      <c r="EL355" s="85"/>
      <c r="EM355" s="85"/>
      <c r="EN355" s="85"/>
      <c r="EO355" s="85"/>
      <c r="EP355" s="85"/>
      <c r="EQ355" s="85"/>
      <c r="ER355" s="85"/>
      <c r="ES355" s="85"/>
      <c r="ET355" s="85"/>
      <c r="EU355" s="85"/>
      <c r="EV355" s="85"/>
      <c r="EW355" s="85"/>
      <c r="EX355" s="85"/>
      <c r="EY355" s="85"/>
      <c r="EZ355" s="85"/>
      <c r="FA355" s="85"/>
      <c r="FB355" s="85"/>
      <c r="FC355" s="85"/>
      <c r="FD355" s="85"/>
      <c r="FE355" s="85"/>
      <c r="FF355" s="85"/>
      <c r="FG355" s="85"/>
      <c r="FH355" s="85"/>
      <c r="FI355" s="85"/>
      <c r="FJ355" s="85"/>
      <c r="FK355" s="85"/>
      <c r="FL355" s="85"/>
      <c r="FM355" s="85"/>
      <c r="FN355" s="85"/>
      <c r="FO355" s="85"/>
      <c r="FP355" s="85"/>
      <c r="FQ355" s="85"/>
      <c r="FR355" s="85"/>
      <c r="FS355" s="85"/>
      <c r="FT355" s="85"/>
      <c r="FU355" s="85"/>
      <c r="FV355" s="85"/>
      <c r="FW355" s="85"/>
      <c r="FX355" s="85"/>
      <c r="FY355" s="85"/>
      <c r="FZ355" s="85"/>
      <c r="GA355" s="85"/>
      <c r="GB355" s="85"/>
      <c r="GC355" s="85"/>
      <c r="GD355" s="85"/>
      <c r="GE355" s="85"/>
      <c r="GF355" s="85"/>
      <c r="GG355" s="85"/>
      <c r="GH355" s="85"/>
      <c r="GI355" s="85"/>
      <c r="GJ355" s="85"/>
      <c r="GK355" s="85"/>
      <c r="GL355" s="85"/>
      <c r="GM355" s="85"/>
      <c r="GN355" s="85"/>
      <c r="GO355" s="85"/>
      <c r="GP355" s="85"/>
      <c r="GQ355" s="85"/>
      <c r="GR355" s="85"/>
      <c r="GS355" s="85"/>
      <c r="GT355" s="85"/>
      <c r="GU355" s="85"/>
      <c r="GV355" s="85"/>
      <c r="GW355" s="85"/>
      <c r="GX355" s="85"/>
      <c r="GY355" s="85"/>
      <c r="GZ355" s="85"/>
      <c r="HA355" s="85"/>
      <c r="HB355" s="85"/>
      <c r="HC355" s="85"/>
      <c r="HD355" s="85"/>
      <c r="HE355" s="85"/>
      <c r="HF355" s="85"/>
      <c r="HG355" s="85"/>
      <c r="HH355" s="85"/>
      <c r="HI355" s="85"/>
      <c r="HJ355" s="85"/>
      <c r="HK355" s="85"/>
      <c r="HL355" s="85"/>
      <c r="HM355" s="85"/>
      <c r="HN355" s="85"/>
      <c r="HO355" s="85"/>
      <c r="HP355" s="85"/>
      <c r="HQ355" s="85"/>
      <c r="HR355" s="85"/>
      <c r="HS355" s="85"/>
      <c r="HT355" s="85"/>
      <c r="HU355" s="85"/>
      <c r="HV355" s="85"/>
      <c r="HW355" s="85"/>
      <c r="HX355" s="85"/>
      <c r="HY355" s="85"/>
      <c r="HZ355" s="85"/>
      <c r="IA355" s="85"/>
      <c r="IB355" s="85"/>
      <c r="IC355" s="85"/>
      <c r="ID355" s="85"/>
      <c r="IE355" s="85"/>
      <c r="IF355" s="85"/>
      <c r="IG355" s="85"/>
      <c r="IH355" s="85"/>
      <c r="II355" s="85"/>
      <c r="IJ355" s="85"/>
      <c r="IK355" s="85"/>
      <c r="IL355" s="85"/>
    </row>
    <row r="356" spans="1:246" s="32" customFormat="1" hidden="1">
      <c r="A356" s="174" t="s">
        <v>185</v>
      </c>
      <c r="B356" s="178" t="s">
        <v>2</v>
      </c>
      <c r="C356" s="179" t="s">
        <v>192</v>
      </c>
      <c r="D356" s="176">
        <f>D357</f>
        <v>0</v>
      </c>
      <c r="E356" s="176"/>
      <c r="F356" s="17">
        <f t="shared" si="66"/>
        <v>0</v>
      </c>
      <c r="G356" s="176">
        <f>G357</f>
        <v>0</v>
      </c>
      <c r="H356" s="17">
        <f t="shared" si="67"/>
        <v>0</v>
      </c>
      <c r="I356" s="165"/>
      <c r="J356" s="165"/>
      <c r="P356" s="245"/>
      <c r="Q356" s="245"/>
      <c r="R356" s="245"/>
      <c r="S356" s="245"/>
      <c r="T356" s="245"/>
      <c r="U356" s="245"/>
      <c r="V356" s="245"/>
      <c r="W356" s="245"/>
      <c r="X356" s="245"/>
      <c r="Y356" s="245"/>
      <c r="Z356" s="245"/>
      <c r="AA356" s="245"/>
      <c r="AB356" s="245"/>
      <c r="AC356" s="245"/>
      <c r="AD356" s="245"/>
      <c r="AE356" s="245"/>
      <c r="AF356" s="245"/>
      <c r="AG356" s="245"/>
      <c r="AH356" s="245"/>
      <c r="AI356" s="245"/>
      <c r="AJ356" s="245"/>
      <c r="AK356" s="245"/>
      <c r="AL356" s="245"/>
      <c r="AM356" s="245"/>
      <c r="AN356" s="245"/>
      <c r="AO356" s="245"/>
      <c r="AP356" s="245"/>
      <c r="AQ356" s="245"/>
      <c r="AR356" s="245"/>
      <c r="AS356" s="245"/>
      <c r="AT356" s="245"/>
      <c r="AU356" s="245"/>
      <c r="AV356" s="245"/>
      <c r="AW356" s="245"/>
      <c r="AX356" s="245"/>
      <c r="AY356" s="245"/>
      <c r="AZ356" s="245"/>
      <c r="BA356" s="245"/>
      <c r="BB356" s="245"/>
      <c r="BC356" s="245"/>
      <c r="BD356" s="245"/>
      <c r="BE356" s="245"/>
      <c r="BF356" s="245"/>
      <c r="BG356" s="245"/>
      <c r="BH356" s="245"/>
      <c r="BI356" s="245"/>
      <c r="BJ356" s="245"/>
      <c r="BK356" s="245"/>
      <c r="BL356" s="245"/>
      <c r="BM356" s="245"/>
      <c r="BN356" s="245"/>
      <c r="BO356" s="245"/>
      <c r="BP356" s="245"/>
      <c r="BQ356" s="245"/>
      <c r="BR356" s="245"/>
      <c r="BS356" s="245"/>
      <c r="BT356" s="245"/>
      <c r="BU356" s="245"/>
      <c r="BV356" s="245"/>
      <c r="BW356" s="245"/>
      <c r="BX356" s="245"/>
      <c r="BY356" s="245"/>
      <c r="BZ356" s="245"/>
      <c r="CA356" s="245"/>
      <c r="CB356" s="245"/>
      <c r="CC356" s="245"/>
      <c r="CD356" s="245"/>
      <c r="CE356" s="245"/>
      <c r="CF356" s="245"/>
      <c r="CG356" s="245"/>
      <c r="CH356" s="245"/>
      <c r="CI356" s="245"/>
      <c r="CJ356" s="245"/>
      <c r="CK356" s="245"/>
      <c r="CL356" s="245"/>
      <c r="CM356" s="245"/>
      <c r="CN356" s="245"/>
      <c r="CO356" s="245"/>
      <c r="CP356" s="245"/>
      <c r="CQ356" s="245"/>
      <c r="CR356" s="245"/>
      <c r="CS356" s="245"/>
      <c r="CT356" s="245"/>
      <c r="CU356" s="245"/>
      <c r="CV356" s="245"/>
      <c r="CW356" s="245"/>
      <c r="CX356" s="245"/>
      <c r="CY356" s="245"/>
      <c r="CZ356" s="245"/>
      <c r="DA356" s="245"/>
      <c r="DB356" s="245"/>
      <c r="DC356" s="245"/>
      <c r="DD356" s="245"/>
      <c r="DE356" s="245"/>
      <c r="DF356" s="245"/>
      <c r="DG356" s="245"/>
      <c r="DH356" s="245"/>
      <c r="DI356" s="245"/>
      <c r="DJ356" s="245"/>
      <c r="DK356" s="245"/>
      <c r="DL356" s="245"/>
      <c r="DM356" s="245"/>
      <c r="DN356" s="245"/>
      <c r="DO356" s="245"/>
      <c r="DP356" s="245"/>
      <c r="DQ356" s="245"/>
      <c r="DR356" s="245"/>
      <c r="DS356" s="245"/>
      <c r="DT356" s="245"/>
      <c r="DU356" s="245"/>
      <c r="DV356" s="245"/>
      <c r="DW356" s="245"/>
      <c r="DX356" s="245"/>
      <c r="DY356" s="245"/>
      <c r="DZ356" s="245"/>
      <c r="EA356" s="245"/>
      <c r="EB356" s="245"/>
      <c r="EC356" s="245"/>
      <c r="ED356" s="245"/>
      <c r="EE356" s="245"/>
      <c r="EF356" s="245"/>
      <c r="EG356" s="245"/>
      <c r="EH356" s="245"/>
      <c r="EI356" s="245"/>
      <c r="EJ356" s="245"/>
      <c r="EK356" s="245"/>
      <c r="EL356" s="245"/>
      <c r="EM356" s="245"/>
      <c r="EN356" s="245"/>
      <c r="EO356" s="245"/>
      <c r="EP356" s="245"/>
      <c r="EQ356" s="245"/>
      <c r="ER356" s="245"/>
      <c r="ES356" s="245"/>
      <c r="ET356" s="245"/>
      <c r="EU356" s="245"/>
      <c r="EV356" s="245"/>
      <c r="EW356" s="245"/>
      <c r="EX356" s="245"/>
      <c r="EY356" s="245"/>
      <c r="EZ356" s="245"/>
      <c r="FA356" s="245"/>
      <c r="FB356" s="245"/>
      <c r="FC356" s="245"/>
      <c r="FD356" s="245"/>
      <c r="FE356" s="245"/>
      <c r="FF356" s="245"/>
      <c r="FG356" s="245"/>
      <c r="FH356" s="245"/>
      <c r="FI356" s="245"/>
      <c r="FJ356" s="245"/>
      <c r="FK356" s="245"/>
      <c r="FL356" s="245"/>
      <c r="FM356" s="245"/>
      <c r="FN356" s="245"/>
      <c r="FO356" s="245"/>
      <c r="FP356" s="245"/>
      <c r="FQ356" s="245"/>
      <c r="FR356" s="245"/>
      <c r="FS356" s="245"/>
      <c r="FT356" s="245"/>
      <c r="FU356" s="245"/>
      <c r="FV356" s="245"/>
      <c r="FW356" s="245"/>
      <c r="FX356" s="245"/>
      <c r="FY356" s="245"/>
      <c r="FZ356" s="245"/>
      <c r="GA356" s="245"/>
      <c r="GB356" s="245"/>
      <c r="GC356" s="245"/>
      <c r="GD356" s="245"/>
      <c r="GE356" s="245"/>
      <c r="GF356" s="245"/>
      <c r="GG356" s="245"/>
      <c r="GH356" s="245"/>
      <c r="GI356" s="245"/>
      <c r="GJ356" s="245"/>
      <c r="GK356" s="245"/>
      <c r="GL356" s="245"/>
      <c r="GM356" s="245"/>
      <c r="GN356" s="245"/>
      <c r="GO356" s="245"/>
      <c r="GP356" s="245"/>
      <c r="GQ356" s="245"/>
      <c r="GR356" s="245"/>
      <c r="GS356" s="245"/>
      <c r="GT356" s="245"/>
      <c r="GU356" s="245"/>
      <c r="GV356" s="245"/>
      <c r="GW356" s="245"/>
      <c r="GX356" s="245"/>
      <c r="GY356" s="245"/>
      <c r="GZ356" s="245"/>
      <c r="HA356" s="245"/>
      <c r="HB356" s="245"/>
      <c r="HC356" s="245"/>
      <c r="HD356" s="245"/>
      <c r="HE356" s="245"/>
      <c r="HF356" s="245"/>
      <c r="HG356" s="245"/>
      <c r="HH356" s="245"/>
      <c r="HI356" s="245"/>
      <c r="HJ356" s="245"/>
      <c r="HK356" s="245"/>
      <c r="HL356" s="245"/>
      <c r="HM356" s="245"/>
      <c r="HN356" s="245"/>
      <c r="HO356" s="245"/>
      <c r="HP356" s="245"/>
      <c r="HQ356" s="245"/>
      <c r="HR356" s="245"/>
      <c r="HS356" s="245"/>
      <c r="HT356" s="245"/>
      <c r="HU356" s="245"/>
      <c r="HV356" s="245"/>
      <c r="HW356" s="245"/>
      <c r="HX356" s="245"/>
      <c r="HY356" s="245"/>
      <c r="HZ356" s="245"/>
      <c r="IA356" s="245"/>
      <c r="IB356" s="245"/>
      <c r="IC356" s="245"/>
      <c r="ID356" s="245"/>
      <c r="IE356" s="245"/>
      <c r="IF356" s="245"/>
      <c r="IG356" s="245"/>
      <c r="IH356" s="245"/>
      <c r="II356" s="245"/>
      <c r="IJ356" s="245"/>
      <c r="IK356" s="245"/>
      <c r="IL356" s="245"/>
    </row>
    <row r="357" spans="1:246" s="32" customFormat="1" hidden="1">
      <c r="A357" s="49" t="s">
        <v>157</v>
      </c>
      <c r="B357" s="50"/>
      <c r="C357" s="48" t="s">
        <v>251</v>
      </c>
      <c r="D357" s="33">
        <f>D358</f>
        <v>0</v>
      </c>
      <c r="E357" s="33"/>
      <c r="F357" s="17">
        <f t="shared" si="66"/>
        <v>0</v>
      </c>
      <c r="G357" s="33">
        <f>G358</f>
        <v>0</v>
      </c>
      <c r="H357" s="17">
        <f t="shared" si="67"/>
        <v>0</v>
      </c>
      <c r="I357" s="165"/>
      <c r="J357" s="16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  <c r="AH357" s="245"/>
      <c r="AI357" s="245"/>
      <c r="AJ357" s="245"/>
      <c r="AK357" s="245"/>
      <c r="AL357" s="245"/>
      <c r="AM357" s="245"/>
      <c r="AN357" s="245"/>
      <c r="AO357" s="245"/>
      <c r="AP357" s="245"/>
      <c r="AQ357" s="245"/>
      <c r="AR357" s="245"/>
      <c r="AS357" s="245"/>
      <c r="AT357" s="245"/>
      <c r="AU357" s="245"/>
      <c r="AV357" s="245"/>
      <c r="AW357" s="245"/>
      <c r="AX357" s="245"/>
      <c r="AY357" s="245"/>
      <c r="AZ357" s="245"/>
      <c r="BA357" s="245"/>
      <c r="BB357" s="245"/>
      <c r="BC357" s="245"/>
      <c r="BD357" s="245"/>
      <c r="BE357" s="245"/>
      <c r="BF357" s="245"/>
      <c r="BG357" s="245"/>
      <c r="BH357" s="245"/>
      <c r="BI357" s="245"/>
      <c r="BJ357" s="245"/>
      <c r="BK357" s="245"/>
      <c r="BL357" s="245"/>
      <c r="BM357" s="245"/>
      <c r="BN357" s="245"/>
      <c r="BO357" s="245"/>
      <c r="BP357" s="245"/>
      <c r="BQ357" s="245"/>
      <c r="BR357" s="245"/>
      <c r="BS357" s="245"/>
      <c r="BT357" s="245"/>
      <c r="BU357" s="245"/>
      <c r="BV357" s="245"/>
      <c r="BW357" s="245"/>
      <c r="BX357" s="245"/>
      <c r="BY357" s="245"/>
      <c r="BZ357" s="245"/>
      <c r="CA357" s="245"/>
      <c r="CB357" s="245"/>
      <c r="CC357" s="245"/>
      <c r="CD357" s="245"/>
      <c r="CE357" s="245"/>
      <c r="CF357" s="245"/>
      <c r="CG357" s="245"/>
      <c r="CH357" s="245"/>
      <c r="CI357" s="245"/>
      <c r="CJ357" s="245"/>
      <c r="CK357" s="245"/>
      <c r="CL357" s="245"/>
      <c r="CM357" s="245"/>
      <c r="CN357" s="245"/>
      <c r="CO357" s="245"/>
      <c r="CP357" s="245"/>
      <c r="CQ357" s="245"/>
      <c r="CR357" s="245"/>
      <c r="CS357" s="245"/>
      <c r="CT357" s="245"/>
      <c r="CU357" s="245"/>
      <c r="CV357" s="245"/>
      <c r="CW357" s="245"/>
      <c r="CX357" s="245"/>
      <c r="CY357" s="245"/>
      <c r="CZ357" s="245"/>
      <c r="DA357" s="245"/>
      <c r="DB357" s="245"/>
      <c r="DC357" s="245"/>
      <c r="DD357" s="245"/>
      <c r="DE357" s="245"/>
      <c r="DF357" s="245"/>
      <c r="DG357" s="245"/>
      <c r="DH357" s="245"/>
      <c r="DI357" s="245"/>
      <c r="DJ357" s="245"/>
      <c r="DK357" s="245"/>
      <c r="DL357" s="245"/>
      <c r="DM357" s="245"/>
      <c r="DN357" s="245"/>
      <c r="DO357" s="245"/>
      <c r="DP357" s="245"/>
      <c r="DQ357" s="245"/>
      <c r="DR357" s="245"/>
      <c r="DS357" s="245"/>
      <c r="DT357" s="245"/>
      <c r="DU357" s="245"/>
      <c r="DV357" s="245"/>
      <c r="DW357" s="245"/>
      <c r="DX357" s="245"/>
      <c r="DY357" s="245"/>
      <c r="DZ357" s="245"/>
      <c r="EA357" s="245"/>
      <c r="EB357" s="245"/>
      <c r="EC357" s="245"/>
      <c r="ED357" s="245"/>
      <c r="EE357" s="245"/>
      <c r="EF357" s="245"/>
      <c r="EG357" s="245"/>
      <c r="EH357" s="245"/>
      <c r="EI357" s="245"/>
      <c r="EJ357" s="245"/>
      <c r="EK357" s="245"/>
      <c r="EL357" s="245"/>
      <c r="EM357" s="245"/>
      <c r="EN357" s="245"/>
      <c r="EO357" s="245"/>
      <c r="EP357" s="245"/>
      <c r="EQ357" s="245"/>
      <c r="ER357" s="245"/>
      <c r="ES357" s="245"/>
      <c r="ET357" s="245"/>
      <c r="EU357" s="245"/>
      <c r="EV357" s="245"/>
      <c r="EW357" s="245"/>
      <c r="EX357" s="245"/>
      <c r="EY357" s="245"/>
      <c r="EZ357" s="245"/>
      <c r="FA357" s="245"/>
      <c r="FB357" s="245"/>
      <c r="FC357" s="245"/>
      <c r="FD357" s="245"/>
      <c r="FE357" s="245"/>
      <c r="FF357" s="245"/>
      <c r="FG357" s="245"/>
      <c r="FH357" s="245"/>
      <c r="FI357" s="245"/>
      <c r="FJ357" s="245"/>
      <c r="FK357" s="245"/>
      <c r="FL357" s="245"/>
      <c r="FM357" s="245"/>
      <c r="FN357" s="245"/>
      <c r="FO357" s="245"/>
      <c r="FP357" s="245"/>
      <c r="FQ357" s="245"/>
      <c r="FR357" s="245"/>
      <c r="FS357" s="245"/>
      <c r="FT357" s="245"/>
      <c r="FU357" s="245"/>
      <c r="FV357" s="245"/>
      <c r="FW357" s="245"/>
      <c r="FX357" s="245"/>
      <c r="FY357" s="245"/>
      <c r="FZ357" s="245"/>
      <c r="GA357" s="245"/>
      <c r="GB357" s="245"/>
      <c r="GC357" s="245"/>
      <c r="GD357" s="245"/>
      <c r="GE357" s="245"/>
      <c r="GF357" s="245"/>
      <c r="GG357" s="245"/>
      <c r="GH357" s="245"/>
      <c r="GI357" s="245"/>
      <c r="GJ357" s="245"/>
      <c r="GK357" s="245"/>
      <c r="GL357" s="245"/>
      <c r="GM357" s="245"/>
      <c r="GN357" s="245"/>
      <c r="GO357" s="245"/>
      <c r="GP357" s="245"/>
      <c r="GQ357" s="245"/>
      <c r="GR357" s="245"/>
      <c r="GS357" s="245"/>
      <c r="GT357" s="245"/>
      <c r="GU357" s="245"/>
      <c r="GV357" s="245"/>
      <c r="GW357" s="245"/>
      <c r="GX357" s="245"/>
      <c r="GY357" s="245"/>
      <c r="GZ357" s="245"/>
      <c r="HA357" s="245"/>
      <c r="HB357" s="245"/>
      <c r="HC357" s="245"/>
      <c r="HD357" s="245"/>
      <c r="HE357" s="245"/>
      <c r="HF357" s="245"/>
      <c r="HG357" s="245"/>
      <c r="HH357" s="245"/>
      <c r="HI357" s="245"/>
      <c r="HJ357" s="245"/>
      <c r="HK357" s="245"/>
      <c r="HL357" s="245"/>
      <c r="HM357" s="245"/>
      <c r="HN357" s="245"/>
      <c r="HO357" s="245"/>
      <c r="HP357" s="245"/>
      <c r="HQ357" s="245"/>
      <c r="HR357" s="245"/>
      <c r="HS357" s="245"/>
      <c r="HT357" s="245"/>
      <c r="HU357" s="245"/>
      <c r="HV357" s="245"/>
      <c r="HW357" s="245"/>
      <c r="HX357" s="245"/>
      <c r="HY357" s="245"/>
      <c r="HZ357" s="245"/>
      <c r="IA357" s="245"/>
      <c r="IB357" s="245"/>
      <c r="IC357" s="245"/>
      <c r="ID357" s="245"/>
      <c r="IE357" s="245"/>
      <c r="IF357" s="245"/>
      <c r="IG357" s="245"/>
      <c r="IH357" s="245"/>
      <c r="II357" s="245"/>
      <c r="IJ357" s="245"/>
      <c r="IK357" s="245"/>
      <c r="IL357" s="245"/>
    </row>
    <row r="358" spans="1:246" s="32" customFormat="1" hidden="1">
      <c r="A358" s="49" t="s">
        <v>174</v>
      </c>
      <c r="B358" s="50"/>
      <c r="C358" s="48" t="s">
        <v>252</v>
      </c>
      <c r="D358" s="33">
        <v>0</v>
      </c>
      <c r="E358" s="33"/>
      <c r="F358" s="17">
        <f t="shared" si="66"/>
        <v>0</v>
      </c>
      <c r="G358" s="33">
        <v>0</v>
      </c>
      <c r="H358" s="17">
        <f t="shared" si="67"/>
        <v>0</v>
      </c>
      <c r="I358" s="165"/>
      <c r="J358" s="16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A358" s="245"/>
      <c r="AB358" s="245"/>
      <c r="AC358" s="245"/>
      <c r="AD358" s="245"/>
      <c r="AE358" s="245"/>
      <c r="AF358" s="245"/>
      <c r="AG358" s="245"/>
      <c r="AH358" s="245"/>
      <c r="AI358" s="245"/>
      <c r="AJ358" s="245"/>
      <c r="AK358" s="245"/>
      <c r="AL358" s="245"/>
      <c r="AM358" s="245"/>
      <c r="AN358" s="245"/>
      <c r="AO358" s="245"/>
      <c r="AP358" s="245"/>
      <c r="AQ358" s="245"/>
      <c r="AR358" s="245"/>
      <c r="AS358" s="245"/>
      <c r="AT358" s="245"/>
      <c r="AU358" s="245"/>
      <c r="AV358" s="245"/>
      <c r="AW358" s="245"/>
      <c r="AX358" s="245"/>
      <c r="AY358" s="245"/>
      <c r="AZ358" s="245"/>
      <c r="BA358" s="245"/>
      <c r="BB358" s="245"/>
      <c r="BC358" s="245"/>
      <c r="BD358" s="245"/>
      <c r="BE358" s="245"/>
      <c r="BF358" s="245"/>
      <c r="BG358" s="245"/>
      <c r="BH358" s="245"/>
      <c r="BI358" s="245"/>
      <c r="BJ358" s="245"/>
      <c r="BK358" s="245"/>
      <c r="BL358" s="245"/>
      <c r="BM358" s="245"/>
      <c r="BN358" s="245"/>
      <c r="BO358" s="245"/>
      <c r="BP358" s="245"/>
      <c r="BQ358" s="245"/>
      <c r="BR358" s="245"/>
      <c r="BS358" s="245"/>
      <c r="BT358" s="245"/>
      <c r="BU358" s="245"/>
      <c r="BV358" s="245"/>
      <c r="BW358" s="245"/>
      <c r="BX358" s="245"/>
      <c r="BY358" s="245"/>
      <c r="BZ358" s="245"/>
      <c r="CA358" s="245"/>
      <c r="CB358" s="245"/>
      <c r="CC358" s="245"/>
      <c r="CD358" s="245"/>
      <c r="CE358" s="245"/>
      <c r="CF358" s="245"/>
      <c r="CG358" s="245"/>
      <c r="CH358" s="245"/>
      <c r="CI358" s="245"/>
      <c r="CJ358" s="245"/>
      <c r="CK358" s="245"/>
      <c r="CL358" s="245"/>
      <c r="CM358" s="245"/>
      <c r="CN358" s="245"/>
      <c r="CO358" s="245"/>
      <c r="CP358" s="245"/>
      <c r="CQ358" s="245"/>
      <c r="CR358" s="245"/>
      <c r="CS358" s="245"/>
      <c r="CT358" s="245"/>
      <c r="CU358" s="245"/>
      <c r="CV358" s="245"/>
      <c r="CW358" s="245"/>
      <c r="CX358" s="245"/>
      <c r="CY358" s="245"/>
      <c r="CZ358" s="245"/>
      <c r="DA358" s="245"/>
      <c r="DB358" s="245"/>
      <c r="DC358" s="245"/>
      <c r="DD358" s="245"/>
      <c r="DE358" s="245"/>
      <c r="DF358" s="245"/>
      <c r="DG358" s="245"/>
      <c r="DH358" s="245"/>
      <c r="DI358" s="245"/>
      <c r="DJ358" s="245"/>
      <c r="DK358" s="245"/>
      <c r="DL358" s="245"/>
      <c r="DM358" s="245"/>
      <c r="DN358" s="245"/>
      <c r="DO358" s="245"/>
      <c r="DP358" s="245"/>
      <c r="DQ358" s="245"/>
      <c r="DR358" s="245"/>
      <c r="DS358" s="245"/>
      <c r="DT358" s="245"/>
      <c r="DU358" s="245"/>
      <c r="DV358" s="245"/>
      <c r="DW358" s="245"/>
      <c r="DX358" s="245"/>
      <c r="DY358" s="245"/>
      <c r="DZ358" s="245"/>
      <c r="EA358" s="245"/>
      <c r="EB358" s="245"/>
      <c r="EC358" s="245"/>
      <c r="ED358" s="245"/>
      <c r="EE358" s="245"/>
      <c r="EF358" s="245"/>
      <c r="EG358" s="245"/>
      <c r="EH358" s="245"/>
      <c r="EI358" s="245"/>
      <c r="EJ358" s="245"/>
      <c r="EK358" s="245"/>
      <c r="EL358" s="245"/>
      <c r="EM358" s="245"/>
      <c r="EN358" s="245"/>
      <c r="EO358" s="245"/>
      <c r="EP358" s="245"/>
      <c r="EQ358" s="245"/>
      <c r="ER358" s="245"/>
      <c r="ES358" s="245"/>
      <c r="ET358" s="245"/>
      <c r="EU358" s="245"/>
      <c r="EV358" s="245"/>
      <c r="EW358" s="245"/>
      <c r="EX358" s="245"/>
      <c r="EY358" s="245"/>
      <c r="EZ358" s="245"/>
      <c r="FA358" s="245"/>
      <c r="FB358" s="245"/>
      <c r="FC358" s="245"/>
      <c r="FD358" s="245"/>
      <c r="FE358" s="245"/>
      <c r="FF358" s="245"/>
      <c r="FG358" s="245"/>
      <c r="FH358" s="245"/>
      <c r="FI358" s="245"/>
      <c r="FJ358" s="245"/>
      <c r="FK358" s="245"/>
      <c r="FL358" s="245"/>
      <c r="FM358" s="245"/>
      <c r="FN358" s="245"/>
      <c r="FO358" s="245"/>
      <c r="FP358" s="245"/>
      <c r="FQ358" s="245"/>
      <c r="FR358" s="245"/>
      <c r="FS358" s="245"/>
      <c r="FT358" s="245"/>
      <c r="FU358" s="245"/>
      <c r="FV358" s="245"/>
      <c r="FW358" s="245"/>
      <c r="FX358" s="245"/>
      <c r="FY358" s="245"/>
      <c r="FZ358" s="245"/>
      <c r="GA358" s="245"/>
      <c r="GB358" s="245"/>
      <c r="GC358" s="245"/>
      <c r="GD358" s="245"/>
      <c r="GE358" s="245"/>
      <c r="GF358" s="245"/>
      <c r="GG358" s="245"/>
      <c r="GH358" s="245"/>
      <c r="GI358" s="245"/>
      <c r="GJ358" s="245"/>
      <c r="GK358" s="245"/>
      <c r="GL358" s="245"/>
      <c r="GM358" s="245"/>
      <c r="GN358" s="245"/>
      <c r="GO358" s="245"/>
      <c r="GP358" s="245"/>
      <c r="GQ358" s="245"/>
      <c r="GR358" s="245"/>
      <c r="GS358" s="245"/>
      <c r="GT358" s="245"/>
      <c r="GU358" s="245"/>
      <c r="GV358" s="245"/>
      <c r="GW358" s="245"/>
      <c r="GX358" s="245"/>
      <c r="GY358" s="245"/>
      <c r="GZ358" s="245"/>
      <c r="HA358" s="245"/>
      <c r="HB358" s="245"/>
      <c r="HC358" s="245"/>
      <c r="HD358" s="245"/>
      <c r="HE358" s="245"/>
      <c r="HF358" s="245"/>
      <c r="HG358" s="245"/>
      <c r="HH358" s="245"/>
      <c r="HI358" s="245"/>
      <c r="HJ358" s="245"/>
      <c r="HK358" s="245"/>
      <c r="HL358" s="245"/>
      <c r="HM358" s="245"/>
      <c r="HN358" s="245"/>
      <c r="HO358" s="245"/>
      <c r="HP358" s="245"/>
      <c r="HQ358" s="245"/>
      <c r="HR358" s="245"/>
      <c r="HS358" s="245"/>
      <c r="HT358" s="245"/>
      <c r="HU358" s="245"/>
      <c r="HV358" s="245"/>
      <c r="HW358" s="245"/>
      <c r="HX358" s="245"/>
      <c r="HY358" s="245"/>
      <c r="HZ358" s="245"/>
      <c r="IA358" s="245"/>
      <c r="IB358" s="245"/>
      <c r="IC358" s="245"/>
      <c r="ID358" s="245"/>
      <c r="IE358" s="245"/>
      <c r="IF358" s="245"/>
      <c r="IG358" s="245"/>
      <c r="IH358" s="245"/>
      <c r="II358" s="245"/>
      <c r="IJ358" s="245"/>
      <c r="IK358" s="245"/>
      <c r="IL358" s="245"/>
    </row>
    <row r="359" spans="1:246" s="231" customFormat="1">
      <c r="A359" s="183" t="s">
        <v>185</v>
      </c>
      <c r="B359" s="71"/>
      <c r="C359" s="185" t="s">
        <v>468</v>
      </c>
      <c r="D359" s="29">
        <f>D360</f>
        <v>3710</v>
      </c>
      <c r="E359" s="29">
        <f>E362</f>
        <v>860.99</v>
      </c>
      <c r="F359" s="29">
        <f>F361+F362</f>
        <v>49919.360000000001</v>
      </c>
      <c r="G359" s="29">
        <f>G360</f>
        <v>0</v>
      </c>
      <c r="H359" s="17">
        <f t="shared" si="67"/>
        <v>49919.360000000001</v>
      </c>
      <c r="I359" s="161"/>
      <c r="J359" s="161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</row>
    <row r="360" spans="1:246" s="37" customFormat="1" hidden="1">
      <c r="A360" s="14" t="s">
        <v>133</v>
      </c>
      <c r="B360" s="71"/>
      <c r="C360" s="242" t="s">
        <v>220</v>
      </c>
      <c r="D360" s="28">
        <f>D362</f>
        <v>3710</v>
      </c>
      <c r="E360" s="28"/>
      <c r="F360" s="29">
        <f t="shared" si="66"/>
        <v>3710</v>
      </c>
      <c r="G360" s="28">
        <f>G362</f>
        <v>0</v>
      </c>
      <c r="H360" s="17">
        <f t="shared" si="67"/>
        <v>3710</v>
      </c>
      <c r="I360" s="168"/>
      <c r="J360" s="168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  <c r="DX360" s="85"/>
      <c r="DY360" s="85"/>
      <c r="DZ360" s="85"/>
      <c r="EA360" s="85"/>
      <c r="EB360" s="85"/>
      <c r="EC360" s="85"/>
      <c r="ED360" s="85"/>
      <c r="EE360" s="85"/>
      <c r="EF360" s="85"/>
      <c r="EG360" s="85"/>
      <c r="EH360" s="85"/>
      <c r="EI360" s="85"/>
      <c r="EJ360" s="85"/>
      <c r="EK360" s="85"/>
      <c r="EL360" s="85"/>
      <c r="EM360" s="85"/>
      <c r="EN360" s="85"/>
      <c r="EO360" s="85"/>
      <c r="EP360" s="85"/>
      <c r="EQ360" s="85"/>
      <c r="ER360" s="85"/>
      <c r="ES360" s="85"/>
      <c r="ET360" s="85"/>
      <c r="EU360" s="85"/>
      <c r="EV360" s="85"/>
      <c r="EW360" s="85"/>
      <c r="EX360" s="85"/>
      <c r="EY360" s="85"/>
      <c r="EZ360" s="85"/>
      <c r="FA360" s="85"/>
      <c r="FB360" s="85"/>
      <c r="FC360" s="85"/>
      <c r="FD360" s="85"/>
      <c r="FE360" s="85"/>
      <c r="FF360" s="85"/>
      <c r="FG360" s="85"/>
      <c r="FH360" s="85"/>
      <c r="FI360" s="85"/>
      <c r="FJ360" s="85"/>
      <c r="FK360" s="85"/>
      <c r="FL360" s="85"/>
      <c r="FM360" s="85"/>
      <c r="FN360" s="85"/>
      <c r="FO360" s="85"/>
      <c r="FP360" s="85"/>
      <c r="FQ360" s="85"/>
      <c r="FR360" s="85"/>
      <c r="FS360" s="85"/>
      <c r="FT360" s="85"/>
      <c r="FU360" s="85"/>
      <c r="FV360" s="85"/>
      <c r="FW360" s="85"/>
      <c r="FX360" s="85"/>
      <c r="FY360" s="85"/>
      <c r="FZ360" s="85"/>
      <c r="GA360" s="85"/>
      <c r="GB360" s="85"/>
      <c r="GC360" s="85"/>
      <c r="GD360" s="85"/>
      <c r="GE360" s="85"/>
      <c r="GF360" s="85"/>
      <c r="GG360" s="85"/>
      <c r="GH360" s="85"/>
      <c r="GI360" s="85"/>
      <c r="GJ360" s="85"/>
      <c r="GK360" s="85"/>
      <c r="GL360" s="85"/>
      <c r="GM360" s="85"/>
      <c r="GN360" s="85"/>
      <c r="GO360" s="85"/>
      <c r="GP360" s="85"/>
      <c r="GQ360" s="85"/>
      <c r="GR360" s="85"/>
      <c r="GS360" s="85"/>
      <c r="GT360" s="85"/>
      <c r="GU360" s="85"/>
      <c r="GV360" s="85"/>
      <c r="GW360" s="85"/>
      <c r="GX360" s="85"/>
      <c r="GY360" s="85"/>
      <c r="GZ360" s="85"/>
      <c r="HA360" s="85"/>
      <c r="HB360" s="85"/>
      <c r="HC360" s="85"/>
      <c r="HD360" s="85"/>
      <c r="HE360" s="85"/>
      <c r="HF360" s="85"/>
      <c r="HG360" s="85"/>
      <c r="HH360" s="85"/>
      <c r="HI360" s="85"/>
      <c r="HJ360" s="85"/>
      <c r="HK360" s="85"/>
      <c r="HL360" s="85"/>
      <c r="HM360" s="85"/>
      <c r="HN360" s="85"/>
      <c r="HO360" s="85"/>
      <c r="HP360" s="85"/>
      <c r="HQ360" s="85"/>
      <c r="HR360" s="85"/>
      <c r="HS360" s="85"/>
      <c r="HT360" s="85"/>
      <c r="HU360" s="85"/>
      <c r="HV360" s="85"/>
      <c r="HW360" s="85"/>
      <c r="HX360" s="85"/>
      <c r="HY360" s="85"/>
      <c r="HZ360" s="85"/>
      <c r="IA360" s="85"/>
      <c r="IB360" s="85"/>
      <c r="IC360" s="85"/>
      <c r="ID360" s="85"/>
      <c r="IE360" s="85"/>
      <c r="IF360" s="85"/>
      <c r="IG360" s="85"/>
      <c r="IH360" s="85"/>
      <c r="II360" s="85"/>
      <c r="IJ360" s="85"/>
      <c r="IK360" s="85"/>
      <c r="IL360" s="85"/>
    </row>
    <row r="361" spans="1:246" s="240" customFormat="1">
      <c r="A361" s="70" t="s">
        <v>174</v>
      </c>
      <c r="B361" s="71"/>
      <c r="C361" s="242" t="s">
        <v>492</v>
      </c>
      <c r="D361" s="28">
        <v>0</v>
      </c>
      <c r="E361" s="28">
        <v>860.99</v>
      </c>
      <c r="F361" s="44">
        <v>26000</v>
      </c>
      <c r="G361" s="28"/>
      <c r="H361" s="8">
        <f t="shared" si="67"/>
        <v>26000</v>
      </c>
      <c r="I361" s="168"/>
      <c r="J361" s="168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D361" s="85"/>
      <c r="EE361" s="85"/>
      <c r="EF361" s="85"/>
      <c r="EG361" s="85"/>
      <c r="EH361" s="85"/>
      <c r="EI361" s="85"/>
      <c r="EJ361" s="85"/>
      <c r="EK361" s="85"/>
      <c r="EL361" s="85"/>
      <c r="EM361" s="85"/>
      <c r="EN361" s="85"/>
      <c r="EO361" s="85"/>
      <c r="EP361" s="85"/>
      <c r="EQ361" s="85"/>
      <c r="ER361" s="85"/>
      <c r="ES361" s="85"/>
      <c r="ET361" s="85"/>
      <c r="EU361" s="85"/>
      <c r="EV361" s="85"/>
      <c r="EW361" s="85"/>
      <c r="EX361" s="85"/>
      <c r="EY361" s="85"/>
      <c r="EZ361" s="85"/>
      <c r="FA361" s="85"/>
      <c r="FB361" s="85"/>
      <c r="FC361" s="85"/>
      <c r="FD361" s="85"/>
      <c r="FE361" s="85"/>
      <c r="FF361" s="85"/>
      <c r="FG361" s="85"/>
      <c r="FH361" s="85"/>
      <c r="FI361" s="85"/>
      <c r="FJ361" s="85"/>
      <c r="FK361" s="85"/>
      <c r="FL361" s="85"/>
      <c r="FM361" s="85"/>
      <c r="FN361" s="85"/>
      <c r="FO361" s="85"/>
      <c r="FP361" s="85"/>
      <c r="FQ361" s="85"/>
      <c r="FR361" s="85"/>
      <c r="FS361" s="85"/>
      <c r="FT361" s="85"/>
      <c r="FU361" s="85"/>
      <c r="FV361" s="85"/>
      <c r="FW361" s="85"/>
      <c r="FX361" s="85"/>
      <c r="FY361" s="85"/>
      <c r="FZ361" s="85"/>
      <c r="GA361" s="85"/>
      <c r="GB361" s="85"/>
      <c r="GC361" s="85"/>
      <c r="GD361" s="85"/>
      <c r="GE361" s="85"/>
      <c r="GF361" s="85"/>
      <c r="GG361" s="85"/>
      <c r="GH361" s="85"/>
      <c r="GI361" s="85"/>
      <c r="GJ361" s="85"/>
      <c r="GK361" s="85"/>
      <c r="GL361" s="85"/>
      <c r="GM361" s="85"/>
      <c r="GN361" s="85"/>
      <c r="GO361" s="85"/>
      <c r="GP361" s="85"/>
      <c r="GQ361" s="85"/>
      <c r="GR361" s="85"/>
      <c r="GS361" s="85"/>
      <c r="GT361" s="85"/>
      <c r="GU361" s="85"/>
      <c r="GV361" s="85"/>
      <c r="GW361" s="85"/>
      <c r="GX361" s="85"/>
      <c r="GY361" s="85"/>
      <c r="GZ361" s="85"/>
      <c r="HA361" s="85"/>
      <c r="HB361" s="85"/>
      <c r="HC361" s="85"/>
      <c r="HD361" s="85"/>
      <c r="HE361" s="85"/>
      <c r="HF361" s="85"/>
      <c r="HG361" s="85"/>
      <c r="HH361" s="85"/>
      <c r="HI361" s="85"/>
      <c r="HJ361" s="85"/>
      <c r="HK361" s="85"/>
      <c r="HL361" s="85"/>
      <c r="HM361" s="85"/>
      <c r="HN361" s="85"/>
      <c r="HO361" s="85"/>
      <c r="HP361" s="85"/>
      <c r="HQ361" s="85"/>
      <c r="HR361" s="85"/>
      <c r="HS361" s="85"/>
      <c r="HT361" s="85"/>
      <c r="HU361" s="85"/>
      <c r="HV361" s="85"/>
      <c r="HW361" s="85"/>
      <c r="HX361" s="85"/>
      <c r="HY361" s="85"/>
      <c r="HZ361" s="85"/>
      <c r="IA361" s="85"/>
      <c r="IB361" s="85"/>
      <c r="IC361" s="85"/>
      <c r="ID361" s="85"/>
      <c r="IE361" s="85"/>
      <c r="IF361" s="85"/>
      <c r="IG361" s="85"/>
      <c r="IH361" s="85"/>
      <c r="II361" s="85"/>
      <c r="IJ361" s="85"/>
      <c r="IK361" s="85"/>
      <c r="IL361" s="85"/>
    </row>
    <row r="362" spans="1:246" s="240" customFormat="1">
      <c r="A362" s="70" t="s">
        <v>158</v>
      </c>
      <c r="B362" s="71"/>
      <c r="C362" s="242" t="s">
        <v>469</v>
      </c>
      <c r="D362" s="28">
        <v>3710</v>
      </c>
      <c r="E362" s="28">
        <v>860.99</v>
      </c>
      <c r="F362" s="44">
        <v>23919.360000000001</v>
      </c>
      <c r="G362" s="28"/>
      <c r="H362" s="8">
        <f t="shared" si="67"/>
        <v>23919.360000000001</v>
      </c>
      <c r="I362" s="168"/>
      <c r="J362" s="168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  <c r="DX362" s="85"/>
      <c r="DY362" s="85"/>
      <c r="DZ362" s="85"/>
      <c r="EA362" s="85"/>
      <c r="EB362" s="85"/>
      <c r="EC362" s="85"/>
      <c r="ED362" s="85"/>
      <c r="EE362" s="85"/>
      <c r="EF362" s="85"/>
      <c r="EG362" s="85"/>
      <c r="EH362" s="85"/>
      <c r="EI362" s="85"/>
      <c r="EJ362" s="85"/>
      <c r="EK362" s="85"/>
      <c r="EL362" s="85"/>
      <c r="EM362" s="85"/>
      <c r="EN362" s="85"/>
      <c r="EO362" s="85"/>
      <c r="EP362" s="85"/>
      <c r="EQ362" s="85"/>
      <c r="ER362" s="85"/>
      <c r="ES362" s="85"/>
      <c r="ET362" s="85"/>
      <c r="EU362" s="85"/>
      <c r="EV362" s="85"/>
      <c r="EW362" s="85"/>
      <c r="EX362" s="85"/>
      <c r="EY362" s="85"/>
      <c r="EZ362" s="85"/>
      <c r="FA362" s="85"/>
      <c r="FB362" s="85"/>
      <c r="FC362" s="85"/>
      <c r="FD362" s="85"/>
      <c r="FE362" s="85"/>
      <c r="FF362" s="85"/>
      <c r="FG362" s="85"/>
      <c r="FH362" s="85"/>
      <c r="FI362" s="85"/>
      <c r="FJ362" s="85"/>
      <c r="FK362" s="85"/>
      <c r="FL362" s="85"/>
      <c r="FM362" s="85"/>
      <c r="FN362" s="85"/>
      <c r="FO362" s="85"/>
      <c r="FP362" s="85"/>
      <c r="FQ362" s="85"/>
      <c r="FR362" s="85"/>
      <c r="FS362" s="85"/>
      <c r="FT362" s="85"/>
      <c r="FU362" s="85"/>
      <c r="FV362" s="85"/>
      <c r="FW362" s="85"/>
      <c r="FX362" s="85"/>
      <c r="FY362" s="85"/>
      <c r="FZ362" s="85"/>
      <c r="GA362" s="85"/>
      <c r="GB362" s="85"/>
      <c r="GC362" s="85"/>
      <c r="GD362" s="85"/>
      <c r="GE362" s="85"/>
      <c r="GF362" s="85"/>
      <c r="GG362" s="85"/>
      <c r="GH362" s="85"/>
      <c r="GI362" s="85"/>
      <c r="GJ362" s="85"/>
      <c r="GK362" s="85"/>
      <c r="GL362" s="85"/>
      <c r="GM362" s="85"/>
      <c r="GN362" s="85"/>
      <c r="GO362" s="85"/>
      <c r="GP362" s="85"/>
      <c r="GQ362" s="85"/>
      <c r="GR362" s="85"/>
      <c r="GS362" s="85"/>
      <c r="GT362" s="85"/>
      <c r="GU362" s="85"/>
      <c r="GV362" s="85"/>
      <c r="GW362" s="85"/>
      <c r="GX362" s="85"/>
      <c r="GY362" s="85"/>
      <c r="GZ362" s="85"/>
      <c r="HA362" s="85"/>
      <c r="HB362" s="85"/>
      <c r="HC362" s="85"/>
      <c r="HD362" s="85"/>
      <c r="HE362" s="85"/>
      <c r="HF362" s="85"/>
      <c r="HG362" s="85"/>
      <c r="HH362" s="85"/>
      <c r="HI362" s="85"/>
      <c r="HJ362" s="85"/>
      <c r="HK362" s="85"/>
      <c r="HL362" s="85"/>
      <c r="HM362" s="85"/>
      <c r="HN362" s="85"/>
      <c r="HO362" s="85"/>
      <c r="HP362" s="85"/>
      <c r="HQ362" s="85"/>
      <c r="HR362" s="85"/>
      <c r="HS362" s="85"/>
      <c r="HT362" s="85"/>
      <c r="HU362" s="85"/>
      <c r="HV362" s="85"/>
      <c r="HW362" s="85"/>
      <c r="HX362" s="85"/>
      <c r="HY362" s="85"/>
      <c r="HZ362" s="85"/>
      <c r="IA362" s="85"/>
      <c r="IB362" s="85"/>
      <c r="IC362" s="85"/>
      <c r="ID362" s="85"/>
      <c r="IE362" s="85"/>
      <c r="IF362" s="85"/>
      <c r="IG362" s="85"/>
      <c r="IH362" s="85"/>
      <c r="II362" s="85"/>
      <c r="IJ362" s="85"/>
      <c r="IK362" s="85"/>
      <c r="IL362" s="85"/>
    </row>
    <row r="363" spans="1:246" s="231" customFormat="1" hidden="1">
      <c r="A363" s="234"/>
      <c r="B363" s="237"/>
      <c r="C363" s="236"/>
      <c r="D363" s="229"/>
      <c r="E363" s="229"/>
      <c r="F363" s="229">
        <f t="shared" si="66"/>
        <v>0</v>
      </c>
      <c r="G363" s="229"/>
      <c r="H363" s="17">
        <f t="shared" si="67"/>
        <v>0</v>
      </c>
      <c r="I363" s="238"/>
      <c r="J363" s="238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</row>
    <row r="364" spans="1:246" s="231" customFormat="1" hidden="1">
      <c r="A364" s="235"/>
      <c r="B364" s="239"/>
      <c r="C364" s="241"/>
      <c r="D364" s="230"/>
      <c r="E364" s="230"/>
      <c r="F364" s="229">
        <f t="shared" si="66"/>
        <v>0</v>
      </c>
      <c r="G364" s="230"/>
      <c r="H364" s="17">
        <f t="shared" si="67"/>
        <v>0</v>
      </c>
      <c r="I364" s="238"/>
      <c r="J364" s="238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</row>
    <row r="365" spans="1:246" s="231" customFormat="1" hidden="1">
      <c r="A365" s="235"/>
      <c r="B365" s="239"/>
      <c r="C365" s="241"/>
      <c r="D365" s="230"/>
      <c r="E365" s="230"/>
      <c r="F365" s="229">
        <f t="shared" si="66"/>
        <v>0</v>
      </c>
      <c r="G365" s="230"/>
      <c r="H365" s="17">
        <f t="shared" si="67"/>
        <v>0</v>
      </c>
      <c r="I365" s="238"/>
      <c r="J365" s="238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</row>
    <row r="366" spans="1:246" s="25" customFormat="1">
      <c r="A366" s="183" t="s">
        <v>348</v>
      </c>
      <c r="B366" s="71"/>
      <c r="C366" s="185" t="s">
        <v>466</v>
      </c>
      <c r="D366" s="29">
        <f>D367</f>
        <v>2000</v>
      </c>
      <c r="E366" s="29">
        <f t="shared" ref="E366:F366" si="78">E367</f>
        <v>0</v>
      </c>
      <c r="F366" s="29">
        <f t="shared" si="78"/>
        <v>2000</v>
      </c>
      <c r="G366" s="29">
        <f>G367</f>
        <v>320.48</v>
      </c>
      <c r="H366" s="17">
        <f t="shared" si="67"/>
        <v>1679.52</v>
      </c>
      <c r="I366" s="161"/>
      <c r="J366" s="161"/>
    </row>
    <row r="367" spans="1:246" s="37" customFormat="1" hidden="1">
      <c r="A367" s="14" t="s">
        <v>133</v>
      </c>
      <c r="B367" s="15"/>
      <c r="C367" s="43" t="s">
        <v>220</v>
      </c>
      <c r="D367" s="12">
        <f>D368</f>
        <v>2000</v>
      </c>
      <c r="E367" s="12"/>
      <c r="F367" s="17">
        <f t="shared" ref="F367:F370" si="79">D367+E367</f>
        <v>2000</v>
      </c>
      <c r="G367" s="12">
        <f>G368</f>
        <v>320.48</v>
      </c>
      <c r="H367" s="17">
        <f t="shared" si="67"/>
        <v>1679.52</v>
      </c>
      <c r="I367" s="163"/>
      <c r="J367" s="163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5"/>
      <c r="EB367" s="85"/>
      <c r="EC367" s="85"/>
      <c r="ED367" s="85"/>
      <c r="EE367" s="85"/>
      <c r="EF367" s="85"/>
      <c r="EG367" s="85"/>
      <c r="EH367" s="85"/>
      <c r="EI367" s="85"/>
      <c r="EJ367" s="85"/>
      <c r="EK367" s="85"/>
      <c r="EL367" s="85"/>
      <c r="EM367" s="85"/>
      <c r="EN367" s="85"/>
      <c r="EO367" s="85"/>
      <c r="EP367" s="85"/>
      <c r="EQ367" s="85"/>
      <c r="ER367" s="85"/>
      <c r="ES367" s="85"/>
      <c r="ET367" s="85"/>
      <c r="EU367" s="85"/>
      <c r="EV367" s="85"/>
      <c r="EW367" s="85"/>
      <c r="EX367" s="85"/>
      <c r="EY367" s="85"/>
      <c r="EZ367" s="85"/>
      <c r="FA367" s="85"/>
      <c r="FB367" s="85"/>
      <c r="FC367" s="85"/>
      <c r="FD367" s="85"/>
      <c r="FE367" s="85"/>
      <c r="FF367" s="85"/>
      <c r="FG367" s="85"/>
      <c r="FH367" s="85"/>
      <c r="FI367" s="85"/>
      <c r="FJ367" s="85"/>
      <c r="FK367" s="85"/>
      <c r="FL367" s="85"/>
      <c r="FM367" s="85"/>
      <c r="FN367" s="85"/>
      <c r="FO367" s="85"/>
      <c r="FP367" s="85"/>
      <c r="FQ367" s="85"/>
      <c r="FR367" s="85"/>
      <c r="FS367" s="85"/>
      <c r="FT367" s="85"/>
      <c r="FU367" s="85"/>
      <c r="FV367" s="85"/>
      <c r="FW367" s="85"/>
      <c r="FX367" s="85"/>
      <c r="FY367" s="85"/>
      <c r="FZ367" s="85"/>
      <c r="GA367" s="85"/>
      <c r="GB367" s="85"/>
      <c r="GC367" s="85"/>
      <c r="GD367" s="85"/>
      <c r="GE367" s="85"/>
      <c r="GF367" s="85"/>
      <c r="GG367" s="85"/>
      <c r="GH367" s="85"/>
      <c r="GI367" s="85"/>
      <c r="GJ367" s="85"/>
      <c r="GK367" s="85"/>
      <c r="GL367" s="85"/>
      <c r="GM367" s="85"/>
      <c r="GN367" s="85"/>
      <c r="GO367" s="85"/>
      <c r="GP367" s="85"/>
      <c r="GQ367" s="85"/>
      <c r="GR367" s="85"/>
      <c r="GS367" s="85"/>
      <c r="GT367" s="85"/>
      <c r="GU367" s="85"/>
      <c r="GV367" s="85"/>
      <c r="GW367" s="85"/>
      <c r="GX367" s="85"/>
      <c r="GY367" s="85"/>
      <c r="GZ367" s="85"/>
      <c r="HA367" s="85"/>
      <c r="HB367" s="85"/>
      <c r="HC367" s="85"/>
      <c r="HD367" s="85"/>
      <c r="HE367" s="85"/>
      <c r="HF367" s="85"/>
      <c r="HG367" s="85"/>
      <c r="HH367" s="85"/>
      <c r="HI367" s="85"/>
      <c r="HJ367" s="85"/>
      <c r="HK367" s="85"/>
      <c r="HL367" s="85"/>
      <c r="HM367" s="85"/>
      <c r="HN367" s="85"/>
      <c r="HO367" s="85"/>
      <c r="HP367" s="85"/>
      <c r="HQ367" s="85"/>
      <c r="HR367" s="85"/>
      <c r="HS367" s="85"/>
      <c r="HT367" s="85"/>
      <c r="HU367" s="85"/>
      <c r="HV367" s="85"/>
      <c r="HW367" s="85"/>
      <c r="HX367" s="85"/>
      <c r="HY367" s="85"/>
      <c r="HZ367" s="85"/>
      <c r="IA367" s="85"/>
      <c r="IB367" s="85"/>
      <c r="IC367" s="85"/>
      <c r="ID367" s="85"/>
      <c r="IE367" s="85"/>
      <c r="IF367" s="85"/>
      <c r="IG367" s="85"/>
      <c r="IH367" s="85"/>
      <c r="II367" s="85"/>
      <c r="IJ367" s="85"/>
      <c r="IK367" s="85"/>
      <c r="IL367" s="85"/>
    </row>
    <row r="368" spans="1:246" s="37" customFormat="1">
      <c r="A368" s="14" t="s">
        <v>156</v>
      </c>
      <c r="B368" s="15"/>
      <c r="C368" s="43" t="s">
        <v>467</v>
      </c>
      <c r="D368" s="12">
        <v>2000</v>
      </c>
      <c r="E368" s="12">
        <v>2000</v>
      </c>
      <c r="F368" s="12">
        <v>2000</v>
      </c>
      <c r="G368" s="12">
        <v>320.48</v>
      </c>
      <c r="H368" s="8">
        <f t="shared" si="67"/>
        <v>1679.52</v>
      </c>
      <c r="I368" s="163"/>
      <c r="J368" s="163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5"/>
      <c r="EG368" s="85"/>
      <c r="EH368" s="85"/>
      <c r="EI368" s="85"/>
      <c r="EJ368" s="85"/>
      <c r="EK368" s="85"/>
      <c r="EL368" s="85"/>
      <c r="EM368" s="85"/>
      <c r="EN368" s="85"/>
      <c r="EO368" s="85"/>
      <c r="EP368" s="85"/>
      <c r="EQ368" s="85"/>
      <c r="ER368" s="85"/>
      <c r="ES368" s="85"/>
      <c r="ET368" s="85"/>
      <c r="EU368" s="85"/>
      <c r="EV368" s="85"/>
      <c r="EW368" s="85"/>
      <c r="EX368" s="85"/>
      <c r="EY368" s="85"/>
      <c r="EZ368" s="85"/>
      <c r="FA368" s="85"/>
      <c r="FB368" s="85"/>
      <c r="FC368" s="85"/>
      <c r="FD368" s="85"/>
      <c r="FE368" s="85"/>
      <c r="FF368" s="85"/>
      <c r="FG368" s="85"/>
      <c r="FH368" s="85"/>
      <c r="FI368" s="85"/>
      <c r="FJ368" s="85"/>
      <c r="FK368" s="85"/>
      <c r="FL368" s="85"/>
      <c r="FM368" s="85"/>
      <c r="FN368" s="85"/>
      <c r="FO368" s="85"/>
      <c r="FP368" s="85"/>
      <c r="FQ368" s="85"/>
      <c r="FR368" s="85"/>
      <c r="FS368" s="85"/>
      <c r="FT368" s="85"/>
      <c r="FU368" s="85"/>
      <c r="FV368" s="85"/>
      <c r="FW368" s="85"/>
      <c r="FX368" s="85"/>
      <c r="FY368" s="85"/>
      <c r="FZ368" s="85"/>
      <c r="GA368" s="85"/>
      <c r="GB368" s="85"/>
      <c r="GC368" s="85"/>
      <c r="GD368" s="85"/>
      <c r="GE368" s="85"/>
      <c r="GF368" s="85"/>
      <c r="GG368" s="85"/>
      <c r="GH368" s="85"/>
      <c r="GI368" s="85"/>
      <c r="GJ368" s="85"/>
      <c r="GK368" s="85"/>
      <c r="GL368" s="85"/>
      <c r="GM368" s="85"/>
      <c r="GN368" s="85"/>
      <c r="GO368" s="85"/>
      <c r="GP368" s="85"/>
      <c r="GQ368" s="85"/>
      <c r="GR368" s="85"/>
      <c r="GS368" s="85"/>
      <c r="GT368" s="85"/>
      <c r="GU368" s="85"/>
      <c r="GV368" s="85"/>
      <c r="GW368" s="85"/>
      <c r="GX368" s="85"/>
      <c r="GY368" s="85"/>
      <c r="GZ368" s="85"/>
      <c r="HA368" s="85"/>
      <c r="HB368" s="85"/>
      <c r="HC368" s="85"/>
      <c r="HD368" s="85"/>
      <c r="HE368" s="85"/>
      <c r="HF368" s="85"/>
      <c r="HG368" s="85"/>
      <c r="HH368" s="85"/>
      <c r="HI368" s="85"/>
      <c r="HJ368" s="85"/>
      <c r="HK368" s="85"/>
      <c r="HL368" s="85"/>
      <c r="HM368" s="85"/>
      <c r="HN368" s="85"/>
      <c r="HO368" s="85"/>
      <c r="HP368" s="85"/>
      <c r="HQ368" s="85"/>
      <c r="HR368" s="85"/>
      <c r="HS368" s="85"/>
      <c r="HT368" s="85"/>
      <c r="HU368" s="85"/>
      <c r="HV368" s="85"/>
      <c r="HW368" s="85"/>
      <c r="HX368" s="85"/>
      <c r="HY368" s="85"/>
      <c r="HZ368" s="85"/>
      <c r="IA368" s="85"/>
      <c r="IB368" s="85"/>
      <c r="IC368" s="85"/>
      <c r="ID368" s="85"/>
      <c r="IE368" s="85"/>
      <c r="IF368" s="85"/>
      <c r="IG368" s="85"/>
      <c r="IH368" s="85"/>
      <c r="II368" s="85"/>
      <c r="IJ368" s="85"/>
      <c r="IK368" s="85"/>
      <c r="IL368" s="85"/>
    </row>
    <row r="369" spans="1:10" s="25" customFormat="1">
      <c r="A369" s="183" t="s">
        <v>185</v>
      </c>
      <c r="B369" s="71"/>
      <c r="C369" s="185" t="s">
        <v>470</v>
      </c>
      <c r="D369" s="29">
        <f>D370</f>
        <v>30000</v>
      </c>
      <c r="E369" s="29">
        <f>E370</f>
        <v>0</v>
      </c>
      <c r="F369" s="29">
        <f t="shared" si="79"/>
        <v>30000</v>
      </c>
      <c r="G369" s="29">
        <f>G370</f>
        <v>0</v>
      </c>
      <c r="H369" s="17">
        <f t="shared" si="67"/>
        <v>30000</v>
      </c>
      <c r="I369" s="161"/>
      <c r="J369" s="161"/>
    </row>
    <row r="370" spans="1:10" s="85" customFormat="1" hidden="1">
      <c r="A370" s="70" t="s">
        <v>133</v>
      </c>
      <c r="B370" s="71"/>
      <c r="C370" s="242" t="s">
        <v>220</v>
      </c>
      <c r="D370" s="28">
        <f>D371</f>
        <v>30000</v>
      </c>
      <c r="E370" s="28"/>
      <c r="F370" s="29">
        <f t="shared" si="79"/>
        <v>30000</v>
      </c>
      <c r="G370" s="28">
        <f>G371</f>
        <v>0</v>
      </c>
      <c r="H370" s="17">
        <f t="shared" si="67"/>
        <v>30000</v>
      </c>
      <c r="I370" s="168"/>
      <c r="J370" s="168"/>
    </row>
    <row r="371" spans="1:10" s="85" customFormat="1">
      <c r="A371" s="70" t="s">
        <v>158</v>
      </c>
      <c r="B371" s="71"/>
      <c r="C371" s="242" t="s">
        <v>471</v>
      </c>
      <c r="D371" s="28">
        <v>30000</v>
      </c>
      <c r="E371" s="28">
        <v>30000</v>
      </c>
      <c r="F371" s="28">
        <v>30000</v>
      </c>
      <c r="G371" s="28"/>
      <c r="H371" s="8">
        <f t="shared" ref="H371" si="80">F371-G371</f>
        <v>30000</v>
      </c>
      <c r="I371" s="168"/>
      <c r="J371" s="168"/>
    </row>
    <row r="372" spans="1:10" ht="23.25" customHeight="1">
      <c r="A372" s="319" t="s">
        <v>349</v>
      </c>
      <c r="B372" s="319"/>
      <c r="C372" s="319"/>
      <c r="D372" s="319"/>
      <c r="E372" s="319"/>
      <c r="F372" s="319"/>
      <c r="G372" s="319"/>
      <c r="H372" s="319"/>
      <c r="I372" s="147"/>
      <c r="J372" s="147"/>
    </row>
    <row r="373" spans="1:10" s="36" customFormat="1">
      <c r="A373" s="77" t="s">
        <v>193</v>
      </c>
      <c r="B373" s="152" t="s">
        <v>2</v>
      </c>
      <c r="C373" s="153" t="s">
        <v>472</v>
      </c>
      <c r="D373" s="17">
        <f>D376+D377</f>
        <v>40000</v>
      </c>
      <c r="E373" s="17">
        <f t="shared" ref="E373:F373" si="81">E376+E377</f>
        <v>40000</v>
      </c>
      <c r="F373" s="17">
        <f t="shared" si="81"/>
        <v>40000</v>
      </c>
      <c r="G373" s="17">
        <f>G374</f>
        <v>0</v>
      </c>
      <c r="H373" s="17">
        <f>D373-G373</f>
        <v>40000</v>
      </c>
      <c r="I373" s="158"/>
      <c r="J373" s="158"/>
    </row>
    <row r="374" spans="1:10" s="36" customFormat="1" hidden="1">
      <c r="A374" s="14" t="s">
        <v>157</v>
      </c>
      <c r="B374" s="15" t="s">
        <v>2</v>
      </c>
      <c r="C374" s="16" t="s">
        <v>194</v>
      </c>
      <c r="D374" s="12">
        <f>D375+D377</f>
        <v>20000</v>
      </c>
      <c r="E374" s="12"/>
      <c r="F374" s="17">
        <f t="shared" ref="F374:F380" si="82">D374+E374</f>
        <v>20000</v>
      </c>
      <c r="G374" s="12">
        <f>G377+G375</f>
        <v>0</v>
      </c>
      <c r="H374" s="17">
        <f t="shared" ref="H374:H393" si="83">D374-G374</f>
        <v>20000</v>
      </c>
      <c r="I374" s="158"/>
      <c r="J374" s="158"/>
    </row>
    <row r="375" spans="1:10" s="36" customFormat="1" hidden="1">
      <c r="A375" s="14" t="s">
        <v>174</v>
      </c>
      <c r="B375" s="15"/>
      <c r="C375" s="16" t="s">
        <v>232</v>
      </c>
      <c r="D375" s="12">
        <v>0</v>
      </c>
      <c r="E375" s="12"/>
      <c r="F375" s="17">
        <f t="shared" si="82"/>
        <v>0</v>
      </c>
      <c r="G375" s="12">
        <v>0</v>
      </c>
      <c r="H375" s="17">
        <f t="shared" si="83"/>
        <v>0</v>
      </c>
      <c r="I375" s="158"/>
      <c r="J375" s="158"/>
    </row>
    <row r="376" spans="1:10" s="36" customFormat="1">
      <c r="A376" s="14" t="s">
        <v>158</v>
      </c>
      <c r="B376" s="15" t="s">
        <v>2</v>
      </c>
      <c r="C376" s="16" t="s">
        <v>473</v>
      </c>
      <c r="D376" s="12">
        <v>20000</v>
      </c>
      <c r="E376" s="12">
        <v>20000</v>
      </c>
      <c r="F376" s="12">
        <v>20000</v>
      </c>
      <c r="G376" s="12">
        <v>0</v>
      </c>
      <c r="H376" s="8">
        <f t="shared" si="83"/>
        <v>20000</v>
      </c>
      <c r="I376" s="158"/>
      <c r="J376" s="158"/>
    </row>
    <row r="377" spans="1:10" s="36" customFormat="1">
      <c r="A377" s="14" t="s">
        <v>158</v>
      </c>
      <c r="B377" s="15" t="s">
        <v>2</v>
      </c>
      <c r="C377" s="16" t="s">
        <v>474</v>
      </c>
      <c r="D377" s="12">
        <v>20000</v>
      </c>
      <c r="E377" s="12">
        <v>20000</v>
      </c>
      <c r="F377" s="12">
        <v>20000</v>
      </c>
      <c r="G377" s="12">
        <v>0</v>
      </c>
      <c r="H377" s="8">
        <f t="shared" si="83"/>
        <v>20000</v>
      </c>
      <c r="I377" s="158"/>
      <c r="J377" s="158"/>
    </row>
    <row r="378" spans="1:10">
      <c r="A378" s="77" t="s">
        <v>350</v>
      </c>
      <c r="B378" s="152" t="s">
        <v>2</v>
      </c>
      <c r="C378" s="153" t="s">
        <v>475</v>
      </c>
      <c r="D378" s="17">
        <f t="shared" ref="D378:G380" si="84">D379</f>
        <v>24000</v>
      </c>
      <c r="E378" s="17"/>
      <c r="F378" s="17">
        <f t="shared" si="82"/>
        <v>24000</v>
      </c>
      <c r="G378" s="17">
        <f t="shared" si="84"/>
        <v>3000</v>
      </c>
      <c r="H378" s="17">
        <f t="shared" si="83"/>
        <v>21000</v>
      </c>
      <c r="I378" s="147"/>
      <c r="J378" s="147"/>
    </row>
    <row r="379" spans="1:10" s="37" customFormat="1" hidden="1">
      <c r="A379" s="14" t="s">
        <v>133</v>
      </c>
      <c r="B379" s="15" t="s">
        <v>2</v>
      </c>
      <c r="C379" s="16" t="s">
        <v>195</v>
      </c>
      <c r="D379" s="12">
        <f t="shared" si="84"/>
        <v>24000</v>
      </c>
      <c r="E379" s="12"/>
      <c r="F379" s="17">
        <f t="shared" si="82"/>
        <v>24000</v>
      </c>
      <c r="G379" s="12">
        <f t="shared" si="84"/>
        <v>3000</v>
      </c>
      <c r="H379" s="17">
        <f t="shared" si="83"/>
        <v>21000</v>
      </c>
      <c r="I379" s="163"/>
      <c r="J379" s="163"/>
    </row>
    <row r="380" spans="1:10" s="37" customFormat="1" hidden="1">
      <c r="A380" s="14" t="s">
        <v>196</v>
      </c>
      <c r="B380" s="15" t="s">
        <v>2</v>
      </c>
      <c r="C380" s="16" t="s">
        <v>197</v>
      </c>
      <c r="D380" s="12">
        <f t="shared" si="84"/>
        <v>24000</v>
      </c>
      <c r="E380" s="12"/>
      <c r="F380" s="17">
        <f t="shared" si="82"/>
        <v>24000</v>
      </c>
      <c r="G380" s="12">
        <f t="shared" si="84"/>
        <v>3000</v>
      </c>
      <c r="H380" s="17">
        <f t="shared" si="83"/>
        <v>21000</v>
      </c>
      <c r="I380" s="163"/>
      <c r="J380" s="163"/>
    </row>
    <row r="381" spans="1:10" s="37" customFormat="1" ht="23.25">
      <c r="A381" s="14" t="s">
        <v>198</v>
      </c>
      <c r="B381" s="15" t="s">
        <v>2</v>
      </c>
      <c r="C381" s="16" t="s">
        <v>476</v>
      </c>
      <c r="D381" s="12">
        <v>24000</v>
      </c>
      <c r="E381" s="12">
        <v>24000</v>
      </c>
      <c r="F381" s="12">
        <v>24000</v>
      </c>
      <c r="G381" s="12">
        <v>3000</v>
      </c>
      <c r="H381" s="8">
        <f t="shared" si="83"/>
        <v>21000</v>
      </c>
      <c r="I381" s="163"/>
      <c r="J381" s="163"/>
    </row>
    <row r="382" spans="1:10" s="244" customFormat="1">
      <c r="A382" s="183" t="s">
        <v>413</v>
      </c>
      <c r="B382" s="184" t="s">
        <v>2</v>
      </c>
      <c r="C382" s="185" t="s">
        <v>477</v>
      </c>
      <c r="D382" s="29">
        <f>D385</f>
        <v>10000</v>
      </c>
      <c r="E382" s="29">
        <f t="shared" ref="E382:F382" si="85">E385</f>
        <v>10000</v>
      </c>
      <c r="F382" s="29">
        <f t="shared" si="85"/>
        <v>10000</v>
      </c>
      <c r="G382" s="29">
        <f>G383</f>
        <v>0</v>
      </c>
      <c r="H382" s="17">
        <f t="shared" si="83"/>
        <v>10000</v>
      </c>
      <c r="I382" s="243"/>
      <c r="J382" s="243"/>
    </row>
    <row r="383" spans="1:10" s="244" customFormat="1" hidden="1">
      <c r="A383" s="70" t="s">
        <v>157</v>
      </c>
      <c r="B383" s="71" t="s">
        <v>2</v>
      </c>
      <c r="C383" s="72" t="s">
        <v>195</v>
      </c>
      <c r="D383" s="28">
        <f>D384+D386</f>
        <v>10000</v>
      </c>
      <c r="E383" s="28"/>
      <c r="F383" s="29">
        <f t="shared" ref="F383:F384" si="86">D383+E383</f>
        <v>10000</v>
      </c>
      <c r="G383" s="28">
        <f>G386+G384</f>
        <v>0</v>
      </c>
      <c r="H383" s="17">
        <f t="shared" si="83"/>
        <v>10000</v>
      </c>
      <c r="I383" s="243"/>
      <c r="J383" s="243"/>
    </row>
    <row r="384" spans="1:10" s="244" customFormat="1" hidden="1">
      <c r="A384" s="70" t="s">
        <v>174</v>
      </c>
      <c r="B384" s="71"/>
      <c r="C384" s="72" t="s">
        <v>197</v>
      </c>
      <c r="D384" s="28">
        <v>0</v>
      </c>
      <c r="E384" s="28"/>
      <c r="F384" s="29">
        <f t="shared" si="86"/>
        <v>0</v>
      </c>
      <c r="G384" s="28">
        <v>0</v>
      </c>
      <c r="H384" s="17">
        <f t="shared" si="83"/>
        <v>0</v>
      </c>
      <c r="I384" s="243"/>
      <c r="J384" s="243"/>
    </row>
    <row r="385" spans="1:10" s="244" customFormat="1">
      <c r="A385" s="70" t="s">
        <v>158</v>
      </c>
      <c r="B385" s="71" t="s">
        <v>2</v>
      </c>
      <c r="C385" s="72" t="s">
        <v>478</v>
      </c>
      <c r="D385" s="28">
        <f>D386</f>
        <v>10000</v>
      </c>
      <c r="E385" s="28">
        <f t="shared" ref="E385:F385" si="87">E386</f>
        <v>10000</v>
      </c>
      <c r="F385" s="28">
        <f t="shared" si="87"/>
        <v>10000</v>
      </c>
      <c r="G385" s="28">
        <v>0</v>
      </c>
      <c r="H385" s="8">
        <f t="shared" si="83"/>
        <v>10000</v>
      </c>
      <c r="I385" s="243"/>
      <c r="J385" s="243"/>
    </row>
    <row r="386" spans="1:10" s="244" customFormat="1">
      <c r="A386" s="70" t="s">
        <v>158</v>
      </c>
      <c r="B386" s="71" t="s">
        <v>2</v>
      </c>
      <c r="C386" s="242" t="s">
        <v>479</v>
      </c>
      <c r="D386" s="28">
        <v>10000</v>
      </c>
      <c r="E386" s="28">
        <v>10000</v>
      </c>
      <c r="F386" s="28">
        <v>10000</v>
      </c>
      <c r="G386" s="28">
        <v>0</v>
      </c>
      <c r="H386" s="8">
        <f t="shared" si="83"/>
        <v>10000</v>
      </c>
      <c r="I386" s="243"/>
      <c r="J386" s="243"/>
    </row>
    <row r="387" spans="1:10" s="37" customFormat="1" ht="17.25" customHeight="1">
      <c r="A387" s="221" t="s">
        <v>351</v>
      </c>
      <c r="B387" s="221"/>
      <c r="C387" s="48"/>
      <c r="D387" s="221"/>
      <c r="E387" s="221"/>
      <c r="F387" s="221"/>
      <c r="G387" s="221"/>
      <c r="H387" s="17">
        <f t="shared" si="83"/>
        <v>0</v>
      </c>
      <c r="I387" s="163"/>
      <c r="J387" s="163"/>
    </row>
    <row r="388" spans="1:10" s="85" customFormat="1" ht="35.25" customHeight="1">
      <c r="A388" s="183" t="s">
        <v>352</v>
      </c>
      <c r="B388" s="184" t="s">
        <v>2</v>
      </c>
      <c r="C388" s="16" t="s">
        <v>480</v>
      </c>
      <c r="D388" s="29">
        <f t="shared" ref="D388:G388" si="88">D389</f>
        <v>10000</v>
      </c>
      <c r="E388" s="29">
        <f t="shared" si="88"/>
        <v>10000</v>
      </c>
      <c r="F388" s="29">
        <f t="shared" si="88"/>
        <v>40000</v>
      </c>
      <c r="G388" s="29">
        <f t="shared" si="88"/>
        <v>0</v>
      </c>
      <c r="H388" s="17">
        <f t="shared" si="83"/>
        <v>10000</v>
      </c>
      <c r="I388" s="168"/>
      <c r="J388" s="168"/>
    </row>
    <row r="389" spans="1:10" s="85" customFormat="1" ht="17.25" customHeight="1">
      <c r="A389" s="70" t="s">
        <v>151</v>
      </c>
      <c r="B389" s="186" t="s">
        <v>2</v>
      </c>
      <c r="C389" s="16" t="s">
        <v>481</v>
      </c>
      <c r="D389" s="28">
        <v>10000</v>
      </c>
      <c r="E389" s="28">
        <v>10000</v>
      </c>
      <c r="F389" s="28">
        <v>40000</v>
      </c>
      <c r="G389" s="28"/>
      <c r="H389" s="8">
        <f t="shared" si="83"/>
        <v>10000</v>
      </c>
      <c r="I389" s="168"/>
      <c r="J389" s="168"/>
    </row>
    <row r="390" spans="1:10" ht="59.25" customHeight="1">
      <c r="A390" s="77" t="s">
        <v>353</v>
      </c>
      <c r="B390" s="152" t="s">
        <v>2</v>
      </c>
      <c r="C390" s="16" t="s">
        <v>483</v>
      </c>
      <c r="D390" s="17">
        <f t="shared" ref="D390:G392" si="89">D391</f>
        <v>222149</v>
      </c>
      <c r="E390" s="17"/>
      <c r="F390" s="29">
        <f t="shared" ref="F390:F392" si="90">D390+E390</f>
        <v>222149</v>
      </c>
      <c r="G390" s="17">
        <f t="shared" si="89"/>
        <v>0</v>
      </c>
      <c r="H390" s="17">
        <f t="shared" si="83"/>
        <v>222149</v>
      </c>
      <c r="I390" s="147"/>
      <c r="J390" s="147"/>
    </row>
    <row r="391" spans="1:10" s="37" customFormat="1" hidden="1">
      <c r="A391" s="14" t="s">
        <v>133</v>
      </c>
      <c r="B391" s="15" t="s">
        <v>2</v>
      </c>
      <c r="C391" s="221"/>
      <c r="D391" s="12">
        <f t="shared" si="89"/>
        <v>222149</v>
      </c>
      <c r="E391" s="12"/>
      <c r="F391" s="29">
        <f t="shared" si="90"/>
        <v>222149</v>
      </c>
      <c r="G391" s="12">
        <f t="shared" si="89"/>
        <v>0</v>
      </c>
      <c r="H391" s="17">
        <f t="shared" si="83"/>
        <v>222149</v>
      </c>
      <c r="I391" s="163"/>
      <c r="J391" s="163"/>
    </row>
    <row r="392" spans="1:10" s="37" customFormat="1" hidden="1">
      <c r="A392" s="14" t="s">
        <v>199</v>
      </c>
      <c r="B392" s="15" t="s">
        <v>2</v>
      </c>
      <c r="C392" s="185" t="s">
        <v>288</v>
      </c>
      <c r="D392" s="12">
        <f t="shared" si="89"/>
        <v>222149</v>
      </c>
      <c r="E392" s="12"/>
      <c r="F392" s="29">
        <f t="shared" si="90"/>
        <v>222149</v>
      </c>
      <c r="G392" s="12">
        <f t="shared" si="89"/>
        <v>0</v>
      </c>
      <c r="H392" s="17">
        <f t="shared" si="83"/>
        <v>222149</v>
      </c>
      <c r="I392" s="163"/>
      <c r="J392" s="163"/>
    </row>
    <row r="393" spans="1:10" s="37" customFormat="1" ht="23.25">
      <c r="A393" s="14" t="s">
        <v>200</v>
      </c>
      <c r="B393" s="15" t="s">
        <v>2</v>
      </c>
      <c r="C393" s="185" t="s">
        <v>484</v>
      </c>
      <c r="D393" s="12">
        <v>222149</v>
      </c>
      <c r="E393" s="12">
        <v>222149</v>
      </c>
      <c r="F393" s="12">
        <v>222149</v>
      </c>
      <c r="G393" s="12"/>
      <c r="H393" s="8">
        <f t="shared" si="83"/>
        <v>222149</v>
      </c>
      <c r="I393" s="163"/>
      <c r="J393" s="163"/>
    </row>
    <row r="394" spans="1:10">
      <c r="A394" s="147"/>
      <c r="B394" s="147"/>
      <c r="C394" s="153" t="s">
        <v>482</v>
      </c>
      <c r="D394" s="149"/>
      <c r="E394" s="149"/>
      <c r="F394" s="29">
        <f>D394+E394</f>
        <v>0</v>
      </c>
      <c r="G394" s="147"/>
      <c r="H394" s="147"/>
      <c r="I394" s="147"/>
      <c r="J394" s="147"/>
    </row>
    <row r="395" spans="1:10">
      <c r="A395" s="14" t="s">
        <v>201</v>
      </c>
      <c r="B395" s="15" t="s">
        <v>202</v>
      </c>
      <c r="C395" s="16"/>
      <c r="D395" s="28"/>
      <c r="E395" s="28"/>
      <c r="F395" s="29"/>
      <c r="G395" s="28"/>
      <c r="H395" s="12" t="s">
        <v>204</v>
      </c>
      <c r="I395" s="147"/>
      <c r="J395" s="147"/>
    </row>
    <row r="396" spans="1:10">
      <c r="C396" s="16" t="s">
        <v>203</v>
      </c>
    </row>
    <row r="398" spans="1:10" ht="18.75">
      <c r="A398" s="255" t="s">
        <v>503</v>
      </c>
      <c r="B398" s="255"/>
      <c r="C398" s="256" t="s">
        <v>504</v>
      </c>
    </row>
    <row r="400" spans="1:10" ht="18.75">
      <c r="A400" s="298"/>
      <c r="C400" s="256"/>
    </row>
  </sheetData>
  <mergeCells count="20">
    <mergeCell ref="J4:J11"/>
    <mergeCell ref="F4:F11"/>
    <mergeCell ref="A13:E13"/>
    <mergeCell ref="A14:E14"/>
    <mergeCell ref="A372:H372"/>
    <mergeCell ref="H4:H11"/>
    <mergeCell ref="A282:H282"/>
    <mergeCell ref="A283:H283"/>
    <mergeCell ref="A305:H305"/>
    <mergeCell ref="E4:E11"/>
    <mergeCell ref="G4:G11"/>
    <mergeCell ref="A79:H79"/>
    <mergeCell ref="A80:H80"/>
    <mergeCell ref="A110:H110"/>
    <mergeCell ref="A182:H182"/>
    <mergeCell ref="A2:D2"/>
    <mergeCell ref="A4:A11"/>
    <mergeCell ref="B4:B11"/>
    <mergeCell ref="C4:C11"/>
    <mergeCell ref="D4:D11"/>
  </mergeCells>
  <conditionalFormatting sqref="G395:H395 G358:G371 G366:H371 G330:G355 G373:H386 G290:G294 G300 G262:H264 G276:G277 G279:G280 G286:G288 G304 G265:G274 G306:G309 G225:H227 G231:H240 G243:G261 D223:H224 H306:H371 G389:H393 F224:F225 D228:H230 F235:F239 F249:F255 F246 F242:F243 F257:F270 F273:F280 G293:H293 G313:G326 H374:H393 G361:H361 H224:H280 H284:H304">
    <cfRule type="cellIs" dxfId="4" priority="5" stopIfTrue="1" operator="equal">
      <formula>0</formula>
    </cfRule>
  </conditionalFormatting>
  <conditionalFormatting sqref="G219:H219 G213:H217 H211:H212 G168:G181 G135:G165 G87:G91 G73:G74 G76:G77 G83:G85 G109 G62:G71 G111:G114 F45:F52 F54:F67 F70:F77 G118:G131 H111:H181 H62:H77 G20:H22 G26:H35 D18:H19 F20 D23:H25 F30:F34 F37:F38 H36:H41 G38:G41 G42:H61 G97:G105 H81:H109 F183:F185 G183:H210 F41">
    <cfRule type="cellIs" dxfId="3" priority="1" stopIfTrue="1" operator="equal">
      <formula>0</formula>
    </cfRule>
  </conditionalFormatting>
  <pageMargins left="0.51181102362204722" right="0" top="0.35433070866141736" bottom="0.17" header="0.31496062992125984" footer="0.18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topLeftCell="A129" zoomScale="85" zoomScaleNormal="85" workbookViewId="0">
      <selection activeCell="C135" sqref="C135"/>
    </sheetView>
  </sheetViews>
  <sheetFormatPr defaultRowHeight="15"/>
  <cols>
    <col min="1" max="1" width="60.5703125" customWidth="1"/>
    <col min="2" max="2" width="6.140625" customWidth="1"/>
    <col min="3" max="3" width="25" customWidth="1"/>
    <col min="4" max="4" width="11.42578125" style="25" customWidth="1"/>
    <col min="5" max="5" width="10" customWidth="1"/>
    <col min="6" max="6" width="13.28515625" customWidth="1"/>
    <col min="7" max="7" width="5.140625" customWidth="1"/>
    <col min="9" max="9" width="11" customWidth="1"/>
  </cols>
  <sheetData>
    <row r="1" spans="1:6">
      <c r="A1" s="300"/>
      <c r="B1" s="300"/>
      <c r="C1" s="300"/>
      <c r="D1" s="300"/>
      <c r="E1" s="301" t="s">
        <v>389</v>
      </c>
      <c r="F1" s="301"/>
    </row>
    <row r="2" spans="1:6">
      <c r="A2" s="300" t="s">
        <v>324</v>
      </c>
      <c r="B2" s="300"/>
      <c r="C2" s="300"/>
      <c r="D2" s="300"/>
      <c r="E2" s="1"/>
      <c r="F2" s="80"/>
    </row>
    <row r="3" spans="1:6">
      <c r="A3" s="2"/>
      <c r="B3" s="2"/>
      <c r="C3" s="2"/>
      <c r="D3" s="26"/>
      <c r="E3" s="3"/>
      <c r="F3" s="81"/>
    </row>
    <row r="4" spans="1:6">
      <c r="A4" s="326" t="s">
        <v>554</v>
      </c>
      <c r="B4" s="326"/>
      <c r="C4" s="326"/>
      <c r="D4" s="326"/>
      <c r="E4" s="4"/>
      <c r="F4" s="82"/>
    </row>
    <row r="5" spans="1:6">
      <c r="A5" s="299"/>
      <c r="B5" s="2"/>
      <c r="C5" s="2"/>
      <c r="D5" s="26"/>
      <c r="E5" s="4"/>
      <c r="F5" s="83"/>
    </row>
    <row r="6" spans="1:6" ht="24.75" customHeight="1">
      <c r="A6" s="5" t="s">
        <v>0</v>
      </c>
      <c r="B6" s="325" t="s">
        <v>1</v>
      </c>
      <c r="C6" s="325"/>
      <c r="D6" s="325"/>
      <c r="E6" s="325"/>
      <c r="F6" s="325"/>
    </row>
    <row r="7" spans="1:6">
      <c r="A7" s="5" t="s">
        <v>3</v>
      </c>
      <c r="B7" s="5"/>
      <c r="C7" s="6"/>
      <c r="D7" s="27"/>
      <c r="E7" s="4"/>
      <c r="F7" s="81"/>
    </row>
    <row r="8" spans="1:6" ht="30.75" customHeight="1">
      <c r="A8" s="302" t="s">
        <v>4</v>
      </c>
      <c r="B8" s="302"/>
      <c r="C8" s="302"/>
      <c r="D8" s="302"/>
      <c r="E8" s="257"/>
      <c r="F8" s="7"/>
    </row>
    <row r="9" spans="1:6">
      <c r="A9" s="306" t="s">
        <v>5</v>
      </c>
      <c r="B9" s="306" t="s">
        <v>6</v>
      </c>
      <c r="C9" s="306" t="s">
        <v>7</v>
      </c>
      <c r="D9" s="307" t="s">
        <v>8</v>
      </c>
      <c r="E9" s="304" t="s">
        <v>9</v>
      </c>
      <c r="F9" s="304" t="s">
        <v>10</v>
      </c>
    </row>
    <row r="10" spans="1:6">
      <c r="A10" s="306"/>
      <c r="B10" s="306"/>
      <c r="C10" s="306"/>
      <c r="D10" s="307"/>
      <c r="E10" s="304"/>
      <c r="F10" s="304"/>
    </row>
    <row r="11" spans="1:6">
      <c r="A11" s="306"/>
      <c r="B11" s="306"/>
      <c r="C11" s="306"/>
      <c r="D11" s="307"/>
      <c r="E11" s="304"/>
      <c r="F11" s="304"/>
    </row>
    <row r="12" spans="1:6">
      <c r="A12" s="306"/>
      <c r="B12" s="306"/>
      <c r="C12" s="306"/>
      <c r="D12" s="307"/>
      <c r="E12" s="304"/>
      <c r="F12" s="304"/>
    </row>
    <row r="13" spans="1:6">
      <c r="A13" s="306"/>
      <c r="B13" s="306"/>
      <c r="C13" s="306"/>
      <c r="D13" s="307"/>
      <c r="E13" s="304"/>
      <c r="F13" s="304"/>
    </row>
    <row r="14" spans="1:6">
      <c r="A14" s="306"/>
      <c r="B14" s="306"/>
      <c r="C14" s="306"/>
      <c r="D14" s="307"/>
      <c r="E14" s="304"/>
      <c r="F14" s="304"/>
    </row>
    <row r="15" spans="1:6">
      <c r="A15" s="306"/>
      <c r="B15" s="306"/>
      <c r="C15" s="306"/>
      <c r="D15" s="307"/>
      <c r="E15" s="304"/>
      <c r="F15" s="304"/>
    </row>
    <row r="16" spans="1:6">
      <c r="A16" s="258">
        <v>1</v>
      </c>
      <c r="B16" s="258">
        <v>2</v>
      </c>
      <c r="C16" s="258">
        <v>3</v>
      </c>
      <c r="D16" s="40" t="s">
        <v>11</v>
      </c>
      <c r="E16" s="260" t="s">
        <v>12</v>
      </c>
      <c r="F16" s="260" t="s">
        <v>13</v>
      </c>
    </row>
    <row r="17" spans="1:9">
      <c r="A17" s="42" t="s">
        <v>14</v>
      </c>
      <c r="B17" s="13" t="s">
        <v>525</v>
      </c>
      <c r="C17" s="43" t="s">
        <v>15</v>
      </c>
      <c r="D17" s="29">
        <f>D20+D105</f>
        <v>5521773</v>
      </c>
      <c r="E17" s="17">
        <f>E20+E105</f>
        <v>2218264.75</v>
      </c>
      <c r="F17" s="17">
        <f>F20+F105</f>
        <v>3303508.25</v>
      </c>
      <c r="G17" s="24"/>
      <c r="I17" s="24"/>
    </row>
    <row r="18" spans="1:9" hidden="1">
      <c r="A18" s="42"/>
      <c r="B18" s="13"/>
      <c r="C18" s="43"/>
      <c r="D18" s="44"/>
      <c r="E18" s="17"/>
      <c r="F18" s="8"/>
    </row>
    <row r="19" spans="1:9">
      <c r="A19" s="14" t="s">
        <v>16</v>
      </c>
      <c r="B19" s="15"/>
      <c r="C19" s="16"/>
      <c r="D19" s="28"/>
      <c r="E19" s="12"/>
      <c r="F19" s="8">
        <f t="shared" ref="F19:F88" si="0">D19-E19</f>
        <v>0</v>
      </c>
    </row>
    <row r="20" spans="1:9">
      <c r="A20" s="14" t="s">
        <v>17</v>
      </c>
      <c r="B20" s="15" t="s">
        <v>2</v>
      </c>
      <c r="C20" s="16" t="s">
        <v>18</v>
      </c>
      <c r="D20" s="29">
        <f>D21+D38+D44+D53+D83+D87+D96+D100+D93</f>
        <v>1622350</v>
      </c>
      <c r="E20" s="29">
        <f>E21+E38+E44+E53+E83+E87+E96+E100</f>
        <v>746301.75</v>
      </c>
      <c r="F20" s="8">
        <f t="shared" si="0"/>
        <v>876048.25</v>
      </c>
      <c r="G20" s="24"/>
    </row>
    <row r="21" spans="1:9" s="264" customFormat="1">
      <c r="A21" s="261" t="s">
        <v>19</v>
      </c>
      <c r="B21" s="262" t="s">
        <v>2</v>
      </c>
      <c r="C21" s="263" t="s">
        <v>20</v>
      </c>
      <c r="D21" s="51">
        <f>D22</f>
        <v>769950</v>
      </c>
      <c r="E21" s="51">
        <f>E22+E27+E32</f>
        <v>356449.73</v>
      </c>
      <c r="F21" s="8">
        <f t="shared" si="0"/>
        <v>413500.27</v>
      </c>
    </row>
    <row r="22" spans="1:9" s="25" customFormat="1">
      <c r="A22" s="70" t="s">
        <v>21</v>
      </c>
      <c r="B22" s="71" t="s">
        <v>2</v>
      </c>
      <c r="C22" s="72" t="s">
        <v>22</v>
      </c>
      <c r="D22" s="28">
        <f>D23+D32+D29+D27</f>
        <v>769950</v>
      </c>
      <c r="E22" s="28">
        <f>E23</f>
        <v>355846.89</v>
      </c>
      <c r="F22" s="8">
        <f t="shared" si="0"/>
        <v>414103.11</v>
      </c>
    </row>
    <row r="23" spans="1:9" s="25" customFormat="1" ht="45.75" customHeight="1">
      <c r="A23" s="265" t="s">
        <v>526</v>
      </c>
      <c r="B23" s="71" t="s">
        <v>2</v>
      </c>
      <c r="C23" s="72" t="s">
        <v>23</v>
      </c>
      <c r="D23" s="73">
        <v>768030</v>
      </c>
      <c r="E23" s="28">
        <f>E24+E25</f>
        <v>355846.89</v>
      </c>
      <c r="F23" s="8">
        <f t="shared" si="0"/>
        <v>412183.11</v>
      </c>
    </row>
    <row r="24" spans="1:9" s="25" customFormat="1" ht="66.75" customHeight="1">
      <c r="A24" s="265" t="s">
        <v>211</v>
      </c>
      <c r="B24" s="71" t="s">
        <v>2</v>
      </c>
      <c r="C24" s="72" t="s">
        <v>24</v>
      </c>
      <c r="D24" s="73"/>
      <c r="E24" s="28">
        <f>25988.6+49616.67+58544+65418.45+68704.9+87299</f>
        <v>355571.62</v>
      </c>
      <c r="F24" s="8">
        <f t="shared" si="0"/>
        <v>-355571.62</v>
      </c>
    </row>
    <row r="25" spans="1:9" s="244" customFormat="1" ht="45.75">
      <c r="A25" s="246" t="s">
        <v>294</v>
      </c>
      <c r="B25" s="71"/>
      <c r="C25" s="72" t="s">
        <v>212</v>
      </c>
      <c r="D25" s="28"/>
      <c r="E25" s="28">
        <f t="shared" ref="E25" si="1">E26</f>
        <v>275.27000000000004</v>
      </c>
      <c r="F25" s="8">
        <f t="shared" si="0"/>
        <v>-275.27000000000004</v>
      </c>
    </row>
    <row r="26" spans="1:9" s="25" customFormat="1" ht="50.25" customHeight="1">
      <c r="A26" s="265" t="s">
        <v>295</v>
      </c>
      <c r="B26" s="71" t="s">
        <v>2</v>
      </c>
      <c r="C26" s="72" t="s">
        <v>296</v>
      </c>
      <c r="D26" s="73"/>
      <c r="E26" s="28">
        <f>0.14+19.77+255.36</f>
        <v>275.27000000000004</v>
      </c>
      <c r="F26" s="8">
        <f t="shared" si="0"/>
        <v>-275.27000000000004</v>
      </c>
    </row>
    <row r="27" spans="1:9" s="25" customFormat="1" ht="69.75" customHeight="1">
      <c r="A27" s="246" t="s">
        <v>527</v>
      </c>
      <c r="B27" s="71" t="s">
        <v>2</v>
      </c>
      <c r="C27" s="72" t="s">
        <v>314</v>
      </c>
      <c r="D27" s="28">
        <v>380</v>
      </c>
      <c r="E27" s="73">
        <f>E31</f>
        <v>0.04</v>
      </c>
      <c r="F27" s="8">
        <f t="shared" si="0"/>
        <v>379.96</v>
      </c>
    </row>
    <row r="28" spans="1:9" s="25" customFormat="1" ht="57" hidden="1">
      <c r="A28" s="266" t="s">
        <v>528</v>
      </c>
      <c r="B28" s="71" t="s">
        <v>2</v>
      </c>
      <c r="C28" s="267" t="s">
        <v>212</v>
      </c>
      <c r="D28" s="28">
        <v>0</v>
      </c>
      <c r="E28" s="28"/>
      <c r="F28" s="8">
        <f t="shared" si="0"/>
        <v>0</v>
      </c>
    </row>
    <row r="29" spans="1:9" s="25" customFormat="1" ht="99.75" hidden="1" customHeight="1">
      <c r="A29" s="268" t="s">
        <v>527</v>
      </c>
      <c r="B29" s="71"/>
      <c r="C29" s="267" t="s">
        <v>309</v>
      </c>
      <c r="D29" s="28"/>
      <c r="E29" s="28"/>
      <c r="F29" s="8">
        <f t="shared" si="0"/>
        <v>0</v>
      </c>
    </row>
    <row r="30" spans="1:9" ht="79.5" customHeight="1">
      <c r="A30" s="45" t="s">
        <v>317</v>
      </c>
      <c r="B30" s="15"/>
      <c r="C30" s="16" t="s">
        <v>310</v>
      </c>
      <c r="D30" s="28"/>
      <c r="E30" s="12">
        <f>E31</f>
        <v>0.04</v>
      </c>
      <c r="F30" s="8">
        <f t="shared" si="0"/>
        <v>-0.04</v>
      </c>
    </row>
    <row r="31" spans="1:9" s="25" customFormat="1" ht="48" customHeight="1">
      <c r="A31" s="265" t="s">
        <v>313</v>
      </c>
      <c r="B31" s="71" t="s">
        <v>2</v>
      </c>
      <c r="C31" s="72" t="s">
        <v>311</v>
      </c>
      <c r="D31" s="73"/>
      <c r="E31" s="28">
        <v>0.04</v>
      </c>
      <c r="F31" s="8">
        <f t="shared" si="0"/>
        <v>-0.04</v>
      </c>
    </row>
    <row r="32" spans="1:9" s="25" customFormat="1" ht="23.25">
      <c r="A32" s="70" t="s">
        <v>213</v>
      </c>
      <c r="B32" s="71" t="s">
        <v>2</v>
      </c>
      <c r="C32" s="72" t="s">
        <v>308</v>
      </c>
      <c r="D32" s="28">
        <v>1540</v>
      </c>
      <c r="E32" s="28">
        <f>E36+E37</f>
        <v>602.79999999999995</v>
      </c>
      <c r="F32" s="8">
        <f t="shared" si="0"/>
        <v>937.2</v>
      </c>
    </row>
    <row r="33" spans="1:7" s="25" customFormat="1" ht="45.75" hidden="1">
      <c r="A33" s="70" t="s">
        <v>214</v>
      </c>
      <c r="B33" s="71" t="s">
        <v>2</v>
      </c>
      <c r="C33" s="72" t="s">
        <v>215</v>
      </c>
      <c r="D33" s="28" t="s">
        <v>25</v>
      </c>
      <c r="E33" s="28">
        <v>0</v>
      </c>
      <c r="F33" s="8" t="e">
        <f t="shared" si="0"/>
        <v>#VALUE!</v>
      </c>
    </row>
    <row r="34" spans="1:7" s="25" customFormat="1" hidden="1">
      <c r="A34" s="269"/>
      <c r="B34" s="270"/>
      <c r="C34" s="267" t="s">
        <v>529</v>
      </c>
      <c r="D34" s="225"/>
      <c r="E34" s="225">
        <v>0</v>
      </c>
      <c r="F34" s="8">
        <f t="shared" si="0"/>
        <v>0</v>
      </c>
    </row>
    <row r="35" spans="1:7" s="25" customFormat="1" ht="45.75" hidden="1">
      <c r="A35" s="269" t="s">
        <v>530</v>
      </c>
      <c r="B35" s="270" t="s">
        <v>2</v>
      </c>
      <c r="C35" s="267" t="s">
        <v>531</v>
      </c>
      <c r="D35" s="225" t="s">
        <v>25</v>
      </c>
      <c r="E35" s="225">
        <v>0</v>
      </c>
      <c r="F35" s="8" t="e">
        <f t="shared" si="0"/>
        <v>#VALUE!</v>
      </c>
    </row>
    <row r="36" spans="1:7" s="25" customFormat="1" ht="50.25" customHeight="1">
      <c r="A36" s="70" t="s">
        <v>214</v>
      </c>
      <c r="B36" s="71" t="s">
        <v>2</v>
      </c>
      <c r="C36" s="72" t="s">
        <v>215</v>
      </c>
      <c r="D36" s="28"/>
      <c r="E36" s="28">
        <f>97.2+405.6</f>
        <v>502.8</v>
      </c>
      <c r="F36" s="8">
        <f t="shared" si="0"/>
        <v>-502.8</v>
      </c>
    </row>
    <row r="37" spans="1:7" s="25" customFormat="1" ht="50.25" customHeight="1">
      <c r="A37" s="70" t="s">
        <v>532</v>
      </c>
      <c r="B37" s="71" t="s">
        <v>2</v>
      </c>
      <c r="C37" s="72" t="s">
        <v>531</v>
      </c>
      <c r="D37" s="28"/>
      <c r="E37" s="28">
        <v>100</v>
      </c>
      <c r="F37" s="44">
        <f t="shared" si="0"/>
        <v>-100</v>
      </c>
    </row>
    <row r="38" spans="1:7" s="264" customFormat="1" ht="23.25">
      <c r="A38" s="261" t="s">
        <v>26</v>
      </c>
      <c r="B38" s="262" t="s">
        <v>2</v>
      </c>
      <c r="C38" s="263" t="s">
        <v>27</v>
      </c>
      <c r="D38" s="51">
        <f>D39</f>
        <v>164000</v>
      </c>
      <c r="E38" s="29">
        <f>E39</f>
        <v>77511.63</v>
      </c>
      <c r="F38" s="8">
        <f t="shared" si="0"/>
        <v>86488.37</v>
      </c>
      <c r="G38" s="271"/>
    </row>
    <row r="39" spans="1:7" s="25" customFormat="1" ht="29.25" customHeight="1">
      <c r="A39" s="272" t="s">
        <v>28</v>
      </c>
      <c r="B39" s="71" t="s">
        <v>2</v>
      </c>
      <c r="C39" s="72" t="s">
        <v>29</v>
      </c>
      <c r="D39" s="28">
        <f>D40+D41+D42+D43</f>
        <v>164000</v>
      </c>
      <c r="E39" s="28">
        <f>E40+E41+E42+E43</f>
        <v>77511.63</v>
      </c>
      <c r="F39" s="8">
        <f t="shared" si="0"/>
        <v>86488.37</v>
      </c>
    </row>
    <row r="40" spans="1:7" s="25" customFormat="1" ht="27" customHeight="1">
      <c r="A40" s="272" t="s">
        <v>30</v>
      </c>
      <c r="B40" s="71" t="s">
        <v>2</v>
      </c>
      <c r="C40" s="72" t="s">
        <v>31</v>
      </c>
      <c r="D40" s="73">
        <v>52300</v>
      </c>
      <c r="E40" s="73">
        <f>3899.95+389.63+7346.73+4583.63+5491.31+4651.64</f>
        <v>26362.89</v>
      </c>
      <c r="F40" s="8">
        <f t="shared" si="0"/>
        <v>25937.11</v>
      </c>
    </row>
    <row r="41" spans="1:7" s="25" customFormat="1" ht="35.25" customHeight="1">
      <c r="A41" s="272" t="s">
        <v>32</v>
      </c>
      <c r="B41" s="71" t="s">
        <v>2</v>
      </c>
      <c r="C41" s="72" t="s">
        <v>33</v>
      </c>
      <c r="D41" s="73">
        <v>1100</v>
      </c>
      <c r="E41" s="73">
        <f>63.21+23.92+116.12+74.85+80.88+75.63</f>
        <v>434.61</v>
      </c>
      <c r="F41" s="8">
        <f t="shared" si="0"/>
        <v>665.39</v>
      </c>
    </row>
    <row r="42" spans="1:7" s="25" customFormat="1" ht="35.25" customHeight="1">
      <c r="A42" s="272" t="s">
        <v>34</v>
      </c>
      <c r="B42" s="71" t="s">
        <v>2</v>
      </c>
      <c r="C42" s="72" t="s">
        <v>35</v>
      </c>
      <c r="D42" s="73">
        <v>121200</v>
      </c>
      <c r="E42" s="73">
        <f>6811.22+8.47+16885.99+9768.98+11092.21+10297.08</f>
        <v>54863.950000000004</v>
      </c>
      <c r="F42" s="8">
        <f t="shared" si="0"/>
        <v>66336.049999999988</v>
      </c>
    </row>
    <row r="43" spans="1:7" s="25" customFormat="1" ht="35.25" customHeight="1">
      <c r="A43" s="272" t="s">
        <v>36</v>
      </c>
      <c r="B43" s="71" t="s">
        <v>2</v>
      </c>
      <c r="C43" s="72" t="s">
        <v>37</v>
      </c>
      <c r="D43" s="73">
        <v>-10600</v>
      </c>
      <c r="E43" s="73">
        <f>-505.03-388.9-1198.28-790.2-653.2-614.21</f>
        <v>-4149.82</v>
      </c>
      <c r="F43" s="8">
        <f t="shared" si="0"/>
        <v>-6450.18</v>
      </c>
    </row>
    <row r="44" spans="1:7" s="264" customFormat="1">
      <c r="A44" s="261" t="s">
        <v>38</v>
      </c>
      <c r="B44" s="262" t="s">
        <v>2</v>
      </c>
      <c r="C44" s="263" t="s">
        <v>39</v>
      </c>
      <c r="D44" s="73">
        <f>D45</f>
        <v>19900</v>
      </c>
      <c r="E44" s="73">
        <f>E45</f>
        <v>107198.86</v>
      </c>
      <c r="F44" s="8">
        <f t="shared" si="0"/>
        <v>-87298.86</v>
      </c>
    </row>
    <row r="45" spans="1:7" s="25" customFormat="1">
      <c r="A45" s="70" t="s">
        <v>40</v>
      </c>
      <c r="B45" s="71" t="s">
        <v>2</v>
      </c>
      <c r="C45" s="72" t="s">
        <v>41</v>
      </c>
      <c r="D45" s="73">
        <f>D46</f>
        <v>19900</v>
      </c>
      <c r="E45" s="73">
        <f>E46+E50</f>
        <v>107198.86</v>
      </c>
      <c r="F45" s="8">
        <f t="shared" si="0"/>
        <v>-87298.86</v>
      </c>
    </row>
    <row r="46" spans="1:7" s="25" customFormat="1">
      <c r="A46" s="70" t="s">
        <v>40</v>
      </c>
      <c r="B46" s="71" t="s">
        <v>2</v>
      </c>
      <c r="C46" s="72" t="s">
        <v>44</v>
      </c>
      <c r="D46" s="73">
        <v>19900</v>
      </c>
      <c r="E46" s="73">
        <f>96431+4427.5</f>
        <v>100858.5</v>
      </c>
      <c r="F46" s="8">
        <f t="shared" si="0"/>
        <v>-80958.5</v>
      </c>
    </row>
    <row r="47" spans="1:7" s="25" customFormat="1" hidden="1">
      <c r="A47" s="68" t="s">
        <v>43</v>
      </c>
      <c r="B47" s="63" t="s">
        <v>2</v>
      </c>
      <c r="C47" s="69" t="s">
        <v>44</v>
      </c>
      <c r="D47" s="31">
        <v>64100</v>
      </c>
      <c r="E47" s="31">
        <f>600+58366.5+2101.5</f>
        <v>61068</v>
      </c>
      <c r="F47" s="8">
        <f t="shared" si="0"/>
        <v>3032</v>
      </c>
    </row>
    <row r="48" spans="1:7" s="25" customFormat="1" hidden="1">
      <c r="A48" s="68" t="s">
        <v>45</v>
      </c>
      <c r="B48" s="63" t="s">
        <v>2</v>
      </c>
      <c r="C48" s="69" t="s">
        <v>46</v>
      </c>
      <c r="D48" s="31" t="s">
        <v>25</v>
      </c>
      <c r="E48" s="31">
        <f>359.13+2170.67</f>
        <v>2529.8000000000002</v>
      </c>
      <c r="F48" s="8" t="e">
        <f t="shared" si="0"/>
        <v>#VALUE!</v>
      </c>
    </row>
    <row r="49" spans="1:6" s="25" customFormat="1" hidden="1">
      <c r="A49" s="68" t="s">
        <v>47</v>
      </c>
      <c r="B49" s="63" t="s">
        <v>2</v>
      </c>
      <c r="C49" s="69" t="s">
        <v>48</v>
      </c>
      <c r="D49" s="31" t="s">
        <v>25</v>
      </c>
      <c r="E49" s="31">
        <f>500+0</f>
        <v>500</v>
      </c>
      <c r="F49" s="8" t="e">
        <f t="shared" si="0"/>
        <v>#VALUE!</v>
      </c>
    </row>
    <row r="50" spans="1:6" s="25" customFormat="1">
      <c r="A50" s="273" t="s">
        <v>45</v>
      </c>
      <c r="B50" s="63"/>
      <c r="C50" s="72" t="s">
        <v>46</v>
      </c>
      <c r="D50" s="31"/>
      <c r="E50" s="28">
        <f>E51</f>
        <v>6340.36</v>
      </c>
      <c r="F50" s="8">
        <f t="shared" si="0"/>
        <v>-6340.36</v>
      </c>
    </row>
    <row r="51" spans="1:6" s="25" customFormat="1">
      <c r="A51" s="273" t="s">
        <v>289</v>
      </c>
      <c r="B51" s="63"/>
      <c r="C51" s="72" t="s">
        <v>533</v>
      </c>
      <c r="D51" s="31"/>
      <c r="E51" s="28">
        <f>6318.73+21.63</f>
        <v>6340.36</v>
      </c>
      <c r="F51" s="8">
        <f t="shared" si="0"/>
        <v>-6340.36</v>
      </c>
    </row>
    <row r="52" spans="1:6" s="25" customFormat="1" hidden="1">
      <c r="A52" s="68" t="s">
        <v>47</v>
      </c>
      <c r="B52" s="63" t="s">
        <v>2</v>
      </c>
      <c r="C52" s="69" t="s">
        <v>48</v>
      </c>
      <c r="D52" s="31" t="s">
        <v>25</v>
      </c>
      <c r="E52" s="31">
        <f>500+0</f>
        <v>500</v>
      </c>
      <c r="F52" s="8" t="e">
        <f t="shared" si="0"/>
        <v>#VALUE!</v>
      </c>
    </row>
    <row r="53" spans="1:6" s="264" customFormat="1" ht="24.75" customHeight="1">
      <c r="A53" s="261" t="s">
        <v>49</v>
      </c>
      <c r="B53" s="262" t="s">
        <v>2</v>
      </c>
      <c r="C53" s="263" t="s">
        <v>50</v>
      </c>
      <c r="D53" s="51">
        <f>D54+D63</f>
        <v>651500</v>
      </c>
      <c r="E53" s="29">
        <f>E54+E63</f>
        <v>197097.75</v>
      </c>
      <c r="F53" s="8">
        <f t="shared" si="0"/>
        <v>454402.25</v>
      </c>
    </row>
    <row r="54" spans="1:6" s="277" customFormat="1">
      <c r="A54" s="274" t="s">
        <v>51</v>
      </c>
      <c r="B54" s="275" t="s">
        <v>2</v>
      </c>
      <c r="C54" s="276" t="s">
        <v>52</v>
      </c>
      <c r="D54" s="73">
        <v>92700</v>
      </c>
      <c r="E54" s="73">
        <f>E55</f>
        <v>5563.5400000000009</v>
      </c>
      <c r="F54" s="8">
        <f t="shared" si="0"/>
        <v>87136.459999999992</v>
      </c>
    </row>
    <row r="55" spans="1:6" s="25" customFormat="1" ht="27.75" customHeight="1">
      <c r="A55" s="70" t="s">
        <v>53</v>
      </c>
      <c r="B55" s="71" t="s">
        <v>2</v>
      </c>
      <c r="C55" s="72" t="s">
        <v>54</v>
      </c>
      <c r="D55" s="73">
        <v>92700</v>
      </c>
      <c r="E55" s="73">
        <f>E60+E62</f>
        <v>5563.5400000000009</v>
      </c>
      <c r="F55" s="8">
        <f t="shared" si="0"/>
        <v>87136.459999999992</v>
      </c>
    </row>
    <row r="56" spans="1:6" s="25" customFormat="1" ht="37.5" hidden="1" customHeight="1">
      <c r="A56" s="70" t="s">
        <v>55</v>
      </c>
      <c r="B56" s="71" t="s">
        <v>2</v>
      </c>
      <c r="C56" s="72" t="s">
        <v>56</v>
      </c>
      <c r="D56" s="73" t="s">
        <v>25</v>
      </c>
      <c r="E56" s="73">
        <v>0</v>
      </c>
      <c r="F56" s="8" t="e">
        <f t="shared" si="0"/>
        <v>#VALUE!</v>
      </c>
    </row>
    <row r="57" spans="1:6" s="25" customFormat="1" ht="37.5" hidden="1" customHeight="1">
      <c r="A57" s="70" t="s">
        <v>57</v>
      </c>
      <c r="B57" s="71" t="s">
        <v>2</v>
      </c>
      <c r="C57" s="72" t="s">
        <v>58</v>
      </c>
      <c r="D57" s="225" t="s">
        <v>25</v>
      </c>
      <c r="E57" s="28">
        <v>0</v>
      </c>
      <c r="F57" s="8" t="e">
        <f t="shared" si="0"/>
        <v>#VALUE!</v>
      </c>
    </row>
    <row r="58" spans="1:6" s="25" customFormat="1" ht="37.5" hidden="1" customHeight="1">
      <c r="A58" s="278" t="s">
        <v>253</v>
      </c>
      <c r="B58" s="279" t="s">
        <v>525</v>
      </c>
      <c r="C58" s="280" t="s">
        <v>254</v>
      </c>
      <c r="D58" s="73" t="s">
        <v>25</v>
      </c>
      <c r="E58" s="73">
        <v>0</v>
      </c>
      <c r="F58" s="8" t="e">
        <f t="shared" si="0"/>
        <v>#VALUE!</v>
      </c>
    </row>
    <row r="59" spans="1:6" s="25" customFormat="1" ht="37.5" hidden="1" customHeight="1">
      <c r="A59" s="278" t="s">
        <v>255</v>
      </c>
      <c r="B59" s="279" t="s">
        <v>525</v>
      </c>
      <c r="C59" s="280" t="s">
        <v>256</v>
      </c>
      <c r="D59" s="73" t="s">
        <v>25</v>
      </c>
      <c r="E59" s="73">
        <v>0</v>
      </c>
      <c r="F59" s="8" t="e">
        <f t="shared" si="0"/>
        <v>#VALUE!</v>
      </c>
    </row>
    <row r="60" spans="1:6" s="25" customFormat="1" ht="39.75" customHeight="1">
      <c r="A60" s="70" t="s">
        <v>55</v>
      </c>
      <c r="B60" s="71" t="s">
        <v>2</v>
      </c>
      <c r="C60" s="72" t="s">
        <v>56</v>
      </c>
      <c r="D60" s="73"/>
      <c r="E60" s="73">
        <f>5600.1-852.58-82.42+115+184</f>
        <v>4964.1000000000004</v>
      </c>
      <c r="F60" s="8">
        <f t="shared" si="0"/>
        <v>-4964.1000000000004</v>
      </c>
    </row>
    <row r="61" spans="1:6" s="25" customFormat="1" ht="27.75" customHeight="1">
      <c r="A61" s="70" t="s">
        <v>278</v>
      </c>
      <c r="B61" s="71"/>
      <c r="C61" s="280" t="s">
        <v>58</v>
      </c>
      <c r="D61" s="73"/>
      <c r="E61" s="73">
        <f>E62</f>
        <v>599.44000000000005</v>
      </c>
      <c r="F61" s="8">
        <f t="shared" si="0"/>
        <v>-599.44000000000005</v>
      </c>
    </row>
    <row r="62" spans="1:6" s="25" customFormat="1" ht="38.25" customHeight="1">
      <c r="A62" s="70" t="s">
        <v>253</v>
      </c>
      <c r="B62" s="71" t="s">
        <v>2</v>
      </c>
      <c r="C62" s="72" t="s">
        <v>254</v>
      </c>
      <c r="D62" s="73"/>
      <c r="E62" s="73">
        <f>166.77+289.74+130.18+7+5.75</f>
        <v>599.44000000000005</v>
      </c>
      <c r="F62" s="8">
        <f t="shared" si="0"/>
        <v>-599.44000000000005</v>
      </c>
    </row>
    <row r="63" spans="1:6" s="285" customFormat="1">
      <c r="A63" s="281" t="s">
        <v>59</v>
      </c>
      <c r="B63" s="282" t="s">
        <v>2</v>
      </c>
      <c r="C63" s="283" t="s">
        <v>60</v>
      </c>
      <c r="D63" s="284">
        <f>D64+D68+D77+D70</f>
        <v>558800</v>
      </c>
      <c r="E63" s="284">
        <f>E64+E68+E77+E70</f>
        <v>191534.21</v>
      </c>
      <c r="F63" s="17">
        <f t="shared" si="0"/>
        <v>367265.79000000004</v>
      </c>
    </row>
    <row r="64" spans="1:6" s="25" customFormat="1" ht="26.25" hidden="1" customHeight="1">
      <c r="A64" s="70" t="s">
        <v>61</v>
      </c>
      <c r="B64" s="71" t="s">
        <v>2</v>
      </c>
      <c r="C64" s="72" t="s">
        <v>62</v>
      </c>
      <c r="D64" s="28">
        <v>0</v>
      </c>
      <c r="E64" s="28">
        <f>E65</f>
        <v>0</v>
      </c>
      <c r="F64" s="8">
        <f t="shared" si="0"/>
        <v>0</v>
      </c>
    </row>
    <row r="65" spans="1:6" s="25" customFormat="1" ht="51.75" hidden="1" customHeight="1">
      <c r="A65" s="70" t="s">
        <v>63</v>
      </c>
      <c r="B65" s="71" t="s">
        <v>2</v>
      </c>
      <c r="C65" s="72" t="s">
        <v>64</v>
      </c>
      <c r="D65" s="73">
        <v>0</v>
      </c>
      <c r="E65" s="73">
        <v>0</v>
      </c>
      <c r="F65" s="8">
        <f t="shared" si="0"/>
        <v>0</v>
      </c>
    </row>
    <row r="66" spans="1:6" s="25" customFormat="1" ht="45.75" hidden="1">
      <c r="A66" s="70" t="s">
        <v>207</v>
      </c>
      <c r="B66" s="71"/>
      <c r="C66" s="72" t="s">
        <v>209</v>
      </c>
      <c r="D66" s="73">
        <v>31837</v>
      </c>
      <c r="E66" s="73" t="s">
        <v>25</v>
      </c>
      <c r="F66" s="8" t="e">
        <f t="shared" si="0"/>
        <v>#VALUE!</v>
      </c>
    </row>
    <row r="67" spans="1:6" s="25" customFormat="1" ht="45.75" hidden="1">
      <c r="A67" s="70" t="s">
        <v>208</v>
      </c>
      <c r="B67" s="71"/>
      <c r="C67" s="72" t="s">
        <v>210</v>
      </c>
      <c r="D67" s="73">
        <v>31837</v>
      </c>
      <c r="E67" s="73" t="s">
        <v>25</v>
      </c>
      <c r="F67" s="8" t="e">
        <f t="shared" si="0"/>
        <v>#VALUE!</v>
      </c>
    </row>
    <row r="68" spans="1:6" s="25" customFormat="1" ht="27.75" hidden="1" customHeight="1">
      <c r="A68" s="70" t="s">
        <v>65</v>
      </c>
      <c r="B68" s="71" t="s">
        <v>2</v>
      </c>
      <c r="C68" s="72" t="s">
        <v>66</v>
      </c>
      <c r="D68" s="73">
        <v>0</v>
      </c>
      <c r="E68" s="73">
        <f>E69</f>
        <v>0</v>
      </c>
      <c r="F68" s="8">
        <f t="shared" si="0"/>
        <v>0</v>
      </c>
    </row>
    <row r="69" spans="1:6" s="25" customFormat="1" ht="49.5" hidden="1" customHeight="1">
      <c r="A69" s="70" t="s">
        <v>67</v>
      </c>
      <c r="B69" s="71" t="s">
        <v>2</v>
      </c>
      <c r="C69" s="72" t="s">
        <v>68</v>
      </c>
      <c r="D69" s="73">
        <v>0</v>
      </c>
      <c r="E69" s="73">
        <v>0</v>
      </c>
      <c r="F69" s="8">
        <f t="shared" si="0"/>
        <v>0</v>
      </c>
    </row>
    <row r="70" spans="1:6" s="25" customFormat="1" ht="25.5" customHeight="1">
      <c r="A70" s="278" t="s">
        <v>257</v>
      </c>
      <c r="B70" s="279" t="s">
        <v>525</v>
      </c>
      <c r="C70" s="280" t="s">
        <v>534</v>
      </c>
      <c r="D70" s="73">
        <v>22100</v>
      </c>
      <c r="E70" s="73">
        <f>E71+E75</f>
        <v>150355.78</v>
      </c>
      <c r="F70" s="8">
        <f t="shared" si="0"/>
        <v>-128255.78</v>
      </c>
    </row>
    <row r="71" spans="1:6" s="25" customFormat="1" ht="31.5" customHeight="1">
      <c r="A71" s="278" t="s">
        <v>535</v>
      </c>
      <c r="B71" s="279"/>
      <c r="C71" s="280" t="s">
        <v>260</v>
      </c>
      <c r="D71" s="73">
        <v>22100</v>
      </c>
      <c r="E71" s="73">
        <f>E74</f>
        <v>146363.01</v>
      </c>
      <c r="F71" s="8">
        <f t="shared" si="0"/>
        <v>-124263.01000000001</v>
      </c>
    </row>
    <row r="72" spans="1:6" s="25" customFormat="1" ht="33.75" hidden="1" customHeight="1">
      <c r="A72" s="278"/>
      <c r="B72" s="279"/>
      <c r="C72" s="280" t="s">
        <v>270</v>
      </c>
      <c r="D72" s="73"/>
      <c r="E72" s="73"/>
      <c r="F72" s="8">
        <f t="shared" si="0"/>
        <v>0</v>
      </c>
    </row>
    <row r="73" spans="1:6" s="25" customFormat="1" ht="33.75" hidden="1" customHeight="1">
      <c r="A73" s="278"/>
      <c r="B73" s="279"/>
      <c r="C73" s="280" t="s">
        <v>271</v>
      </c>
      <c r="D73" s="73"/>
      <c r="E73" s="73"/>
      <c r="F73" s="8">
        <f t="shared" si="0"/>
        <v>0</v>
      </c>
    </row>
    <row r="74" spans="1:6" s="25" customFormat="1" ht="27" customHeight="1">
      <c r="A74" s="278" t="s">
        <v>259</v>
      </c>
      <c r="B74" s="279"/>
      <c r="C74" s="280" t="s">
        <v>269</v>
      </c>
      <c r="D74" s="73"/>
      <c r="E74" s="73">
        <f>1362+149564.32-10071.31+5508</f>
        <v>146363.01</v>
      </c>
      <c r="F74" s="8">
        <f t="shared" si="0"/>
        <v>-146363.01</v>
      </c>
    </row>
    <row r="75" spans="1:6" ht="24.75" customHeight="1">
      <c r="A75" s="59" t="s">
        <v>278</v>
      </c>
      <c r="B75" s="60"/>
      <c r="C75" s="38" t="s">
        <v>270</v>
      </c>
      <c r="D75" s="46"/>
      <c r="E75" s="46">
        <f>E76</f>
        <v>3992.77</v>
      </c>
      <c r="F75" s="8">
        <f t="shared" si="0"/>
        <v>-3992.77</v>
      </c>
    </row>
    <row r="76" spans="1:6" ht="24.75" customHeight="1">
      <c r="A76" s="59" t="s">
        <v>279</v>
      </c>
      <c r="B76" s="60"/>
      <c r="C76" s="280" t="s">
        <v>536</v>
      </c>
      <c r="D76" s="46"/>
      <c r="E76" s="46">
        <f>4433.47-408.09-32.61</f>
        <v>3992.77</v>
      </c>
      <c r="F76" s="8">
        <f t="shared" si="0"/>
        <v>-3992.77</v>
      </c>
    </row>
    <row r="77" spans="1:6" s="25" customFormat="1">
      <c r="A77" s="278" t="s">
        <v>261</v>
      </c>
      <c r="B77" s="279" t="s">
        <v>525</v>
      </c>
      <c r="C77" s="280" t="s">
        <v>262</v>
      </c>
      <c r="D77" s="73">
        <f>D78</f>
        <v>536700</v>
      </c>
      <c r="E77" s="73">
        <f>E78</f>
        <v>41178.43</v>
      </c>
      <c r="F77" s="8">
        <f t="shared" si="0"/>
        <v>495521.57</v>
      </c>
    </row>
    <row r="78" spans="1:6" s="25" customFormat="1" ht="24.75" customHeight="1">
      <c r="A78" s="278" t="s">
        <v>263</v>
      </c>
      <c r="B78" s="279" t="s">
        <v>525</v>
      </c>
      <c r="C78" s="280" t="s">
        <v>264</v>
      </c>
      <c r="D78" s="73">
        <v>536700</v>
      </c>
      <c r="E78" s="73">
        <f>E80+E82</f>
        <v>41178.43</v>
      </c>
      <c r="F78" s="8">
        <f t="shared" si="0"/>
        <v>495521.57</v>
      </c>
    </row>
    <row r="79" spans="1:6" s="25" customFormat="1" ht="28.5" hidden="1" customHeight="1">
      <c r="A79" s="278" t="s">
        <v>273</v>
      </c>
      <c r="B79" s="279"/>
      <c r="C79" s="280" t="s">
        <v>274</v>
      </c>
      <c r="D79" s="73"/>
      <c r="E79" s="73">
        <v>0</v>
      </c>
      <c r="F79" s="8">
        <f t="shared" si="0"/>
        <v>0</v>
      </c>
    </row>
    <row r="80" spans="1:6" s="25" customFormat="1" ht="24" customHeight="1">
      <c r="A80" s="278" t="s">
        <v>263</v>
      </c>
      <c r="B80" s="279" t="s">
        <v>525</v>
      </c>
      <c r="C80" s="280" t="s">
        <v>274</v>
      </c>
      <c r="D80" s="73"/>
      <c r="E80" s="73">
        <f>27493.01+5842.69+2222.42+606.41+1636.64</f>
        <v>37801.17</v>
      </c>
      <c r="F80" s="8">
        <f t="shared" si="0"/>
        <v>-37801.17</v>
      </c>
    </row>
    <row r="81" spans="1:6" ht="24" customHeight="1">
      <c r="A81" s="59" t="s">
        <v>275</v>
      </c>
      <c r="B81" s="60"/>
      <c r="C81" s="38" t="s">
        <v>276</v>
      </c>
      <c r="D81" s="46"/>
      <c r="E81" s="46">
        <f>E82</f>
        <v>3377.26</v>
      </c>
      <c r="F81" s="8">
        <f t="shared" si="0"/>
        <v>-3377.26</v>
      </c>
    </row>
    <row r="82" spans="1:6" s="25" customFormat="1" ht="21" customHeight="1">
      <c r="A82" s="278" t="s">
        <v>280</v>
      </c>
      <c r="B82" s="279" t="s">
        <v>525</v>
      </c>
      <c r="C82" s="280" t="s">
        <v>277</v>
      </c>
      <c r="D82" s="73"/>
      <c r="E82" s="73">
        <f>2107.73+383.42+485.53+100.61+299.97</f>
        <v>3377.26</v>
      </c>
      <c r="F82" s="8">
        <f t="shared" si="0"/>
        <v>-3377.26</v>
      </c>
    </row>
    <row r="83" spans="1:6" s="264" customFormat="1" ht="21" customHeight="1">
      <c r="A83" s="261" t="s">
        <v>69</v>
      </c>
      <c r="B83" s="262" t="s">
        <v>2</v>
      </c>
      <c r="C83" s="263" t="s">
        <v>70</v>
      </c>
      <c r="D83" s="51">
        <f>D84</f>
        <v>12000</v>
      </c>
      <c r="E83" s="29">
        <f>E84</f>
        <v>5000</v>
      </c>
      <c r="F83" s="8">
        <f t="shared" si="0"/>
        <v>7000</v>
      </c>
    </row>
    <row r="84" spans="1:6" s="25" customFormat="1" ht="36" customHeight="1">
      <c r="A84" s="70" t="s">
        <v>71</v>
      </c>
      <c r="B84" s="71" t="s">
        <v>2</v>
      </c>
      <c r="C84" s="72" t="s">
        <v>72</v>
      </c>
      <c r="D84" s="28">
        <f>D85</f>
        <v>12000</v>
      </c>
      <c r="E84" s="28">
        <f>E85</f>
        <v>5000</v>
      </c>
      <c r="F84" s="8">
        <f t="shared" si="0"/>
        <v>7000</v>
      </c>
    </row>
    <row r="85" spans="1:6" s="25" customFormat="1" ht="48.75" customHeight="1">
      <c r="A85" s="70" t="s">
        <v>73</v>
      </c>
      <c r="B85" s="71" t="s">
        <v>2</v>
      </c>
      <c r="C85" s="72" t="s">
        <v>74</v>
      </c>
      <c r="D85" s="28">
        <v>12000</v>
      </c>
      <c r="E85" s="28">
        <f>E86</f>
        <v>5000</v>
      </c>
      <c r="F85" s="8">
        <f t="shared" si="0"/>
        <v>7000</v>
      </c>
    </row>
    <row r="86" spans="1:6" s="25" customFormat="1" ht="48.75" customHeight="1">
      <c r="A86" s="70" t="s">
        <v>75</v>
      </c>
      <c r="B86" s="71" t="s">
        <v>2</v>
      </c>
      <c r="C86" s="72" t="s">
        <v>76</v>
      </c>
      <c r="D86" s="28"/>
      <c r="E86" s="28">
        <f>200+2200+900+600+700+400</f>
        <v>5000</v>
      </c>
      <c r="F86" s="8">
        <f t="shared" si="0"/>
        <v>-5000</v>
      </c>
    </row>
    <row r="87" spans="1:6" s="264" customFormat="1" ht="30.75" customHeight="1">
      <c r="A87" s="261" t="s">
        <v>77</v>
      </c>
      <c r="B87" s="262" t="s">
        <v>2</v>
      </c>
      <c r="C87" s="263" t="s">
        <v>78</v>
      </c>
      <c r="D87" s="51">
        <f>D88</f>
        <v>3000</v>
      </c>
      <c r="E87" s="29">
        <f>E88</f>
        <v>3043.7799999999997</v>
      </c>
      <c r="F87" s="8">
        <f t="shared" si="0"/>
        <v>-43.779999999999745</v>
      </c>
    </row>
    <row r="88" spans="1:6" s="25" customFormat="1" ht="63.75" customHeight="1">
      <c r="A88" s="246" t="s">
        <v>79</v>
      </c>
      <c r="B88" s="71" t="s">
        <v>2</v>
      </c>
      <c r="C88" s="72" t="s">
        <v>80</v>
      </c>
      <c r="D88" s="28">
        <f>D89+D91</f>
        <v>3000</v>
      </c>
      <c r="E88" s="28">
        <f>E89+E91</f>
        <v>3043.7799999999997</v>
      </c>
      <c r="F88" s="8">
        <f t="shared" si="0"/>
        <v>-43.779999999999745</v>
      </c>
    </row>
    <row r="89" spans="1:6" s="25" customFormat="1" ht="51" hidden="1" customHeight="1">
      <c r="A89" s="70" t="s">
        <v>81</v>
      </c>
      <c r="B89" s="71" t="s">
        <v>2</v>
      </c>
      <c r="C89" s="72" t="s">
        <v>82</v>
      </c>
      <c r="D89" s="28">
        <f>D90</f>
        <v>0</v>
      </c>
      <c r="E89" s="28">
        <f>E90</f>
        <v>0</v>
      </c>
      <c r="F89" s="8">
        <f t="shared" ref="F89:F127" si="2">D89-E89</f>
        <v>0</v>
      </c>
    </row>
    <row r="90" spans="1:6" s="25" customFormat="1" ht="48" hidden="1" customHeight="1">
      <c r="A90" s="246" t="s">
        <v>83</v>
      </c>
      <c r="B90" s="71" t="s">
        <v>2</v>
      </c>
      <c r="C90" s="72" t="s">
        <v>84</v>
      </c>
      <c r="D90" s="28">
        <v>0</v>
      </c>
      <c r="E90" s="28">
        <v>0</v>
      </c>
      <c r="F90" s="8">
        <f t="shared" si="2"/>
        <v>0</v>
      </c>
    </row>
    <row r="91" spans="1:6" s="25" customFormat="1" ht="50.25" customHeight="1">
      <c r="A91" s="246" t="s">
        <v>85</v>
      </c>
      <c r="B91" s="71" t="s">
        <v>2</v>
      </c>
      <c r="C91" s="72" t="s">
        <v>86</v>
      </c>
      <c r="D91" s="28">
        <f>D92</f>
        <v>3000</v>
      </c>
      <c r="E91" s="28">
        <f>E92</f>
        <v>3043.7799999999997</v>
      </c>
      <c r="F91" s="8">
        <f t="shared" si="2"/>
        <v>-43.779999999999745</v>
      </c>
    </row>
    <row r="92" spans="1:6" s="25" customFormat="1" ht="38.25" customHeight="1">
      <c r="A92" s="70" t="s">
        <v>87</v>
      </c>
      <c r="B92" s="71" t="s">
        <v>2</v>
      </c>
      <c r="C92" s="72" t="s">
        <v>88</v>
      </c>
      <c r="D92" s="28">
        <v>3000</v>
      </c>
      <c r="E92" s="28">
        <f>1393.58+900+750.2</f>
        <v>3043.7799999999997</v>
      </c>
      <c r="F92" s="8">
        <f t="shared" si="2"/>
        <v>-43.779999999999745</v>
      </c>
    </row>
    <row r="93" spans="1:6" s="286" customFormat="1">
      <c r="A93" s="261" t="s">
        <v>239</v>
      </c>
      <c r="B93" s="262"/>
      <c r="C93" s="263" t="s">
        <v>241</v>
      </c>
      <c r="D93" s="51">
        <f>D94</f>
        <v>2000</v>
      </c>
      <c r="E93" s="51"/>
      <c r="F93" s="8">
        <f t="shared" si="2"/>
        <v>2000</v>
      </c>
    </row>
    <row r="94" spans="1:6" s="244" customFormat="1" ht="28.5" customHeight="1">
      <c r="A94" s="70" t="s">
        <v>240</v>
      </c>
      <c r="B94" s="71"/>
      <c r="C94" s="72" t="s">
        <v>242</v>
      </c>
      <c r="D94" s="28">
        <f>D95</f>
        <v>2000</v>
      </c>
      <c r="E94" s="28"/>
      <c r="F94" s="8">
        <f t="shared" si="2"/>
        <v>2000</v>
      </c>
    </row>
    <row r="95" spans="1:6" s="244" customFormat="1" ht="35.25" customHeight="1">
      <c r="A95" s="70" t="s">
        <v>238</v>
      </c>
      <c r="B95" s="71"/>
      <c r="C95" s="72" t="s">
        <v>243</v>
      </c>
      <c r="D95" s="28">
        <v>2000</v>
      </c>
      <c r="E95" s="28"/>
      <c r="F95" s="8">
        <f t="shared" si="2"/>
        <v>2000</v>
      </c>
    </row>
    <row r="96" spans="1:6" s="264" customFormat="1" hidden="1">
      <c r="A96" s="261" t="s">
        <v>89</v>
      </c>
      <c r="B96" s="262" t="s">
        <v>2</v>
      </c>
      <c r="C96" s="185" t="s">
        <v>537</v>
      </c>
      <c r="D96" s="51">
        <f t="shared" ref="D96:E98" si="3">D97</f>
        <v>0</v>
      </c>
      <c r="E96" s="51">
        <f t="shared" si="3"/>
        <v>0</v>
      </c>
      <c r="F96" s="8">
        <f t="shared" si="2"/>
        <v>0</v>
      </c>
    </row>
    <row r="97" spans="1:6" s="25" customFormat="1" ht="40.5" hidden="1" customHeight="1">
      <c r="A97" s="70" t="s">
        <v>90</v>
      </c>
      <c r="B97" s="71" t="s">
        <v>2</v>
      </c>
      <c r="C97" s="242" t="s">
        <v>538</v>
      </c>
      <c r="D97" s="28">
        <f t="shared" si="3"/>
        <v>0</v>
      </c>
      <c r="E97" s="28">
        <f t="shared" si="3"/>
        <v>0</v>
      </c>
      <c r="F97" s="8">
        <f t="shared" si="2"/>
        <v>0</v>
      </c>
    </row>
    <row r="98" spans="1:6" s="25" customFormat="1" ht="27.75" hidden="1" customHeight="1">
      <c r="A98" s="70" t="s">
        <v>91</v>
      </c>
      <c r="B98" s="71" t="s">
        <v>2</v>
      </c>
      <c r="C98" s="72" t="s">
        <v>92</v>
      </c>
      <c r="D98" s="28">
        <f t="shared" si="3"/>
        <v>0</v>
      </c>
      <c r="E98" s="28">
        <f t="shared" si="3"/>
        <v>0</v>
      </c>
      <c r="F98" s="8">
        <f t="shared" si="2"/>
        <v>0</v>
      </c>
    </row>
    <row r="99" spans="1:6" s="25" customFormat="1" ht="25.5" hidden="1" customHeight="1">
      <c r="A99" s="70" t="s">
        <v>93</v>
      </c>
      <c r="B99" s="71" t="s">
        <v>2</v>
      </c>
      <c r="C99" s="72" t="s">
        <v>94</v>
      </c>
      <c r="D99" s="28">
        <v>0</v>
      </c>
      <c r="E99" s="28">
        <v>0</v>
      </c>
      <c r="F99" s="8">
        <f t="shared" si="2"/>
        <v>0</v>
      </c>
    </row>
    <row r="100" spans="1:6" s="264" customFormat="1" hidden="1">
      <c r="A100" s="287" t="s">
        <v>234</v>
      </c>
      <c r="B100" s="288"/>
      <c r="C100" s="289" t="s">
        <v>236</v>
      </c>
      <c r="D100" s="67">
        <f>D101+D103</f>
        <v>0</v>
      </c>
      <c r="E100" s="67">
        <f>E101+E103</f>
        <v>0</v>
      </c>
      <c r="F100" s="8">
        <f t="shared" si="2"/>
        <v>0</v>
      </c>
    </row>
    <row r="101" spans="1:6" s="25" customFormat="1" ht="17.25" hidden="1" customHeight="1">
      <c r="A101" s="68" t="s">
        <v>237</v>
      </c>
      <c r="B101" s="63"/>
      <c r="C101" s="69" t="s">
        <v>235</v>
      </c>
      <c r="D101" s="31">
        <v>0</v>
      </c>
      <c r="E101" s="31">
        <f>E102</f>
        <v>0</v>
      </c>
      <c r="F101" s="8">
        <f t="shared" si="2"/>
        <v>0</v>
      </c>
    </row>
    <row r="102" spans="1:6" s="25" customFormat="1" ht="24" hidden="1" customHeight="1">
      <c r="A102" s="68" t="s">
        <v>233</v>
      </c>
      <c r="B102" s="63"/>
      <c r="C102" s="69" t="s">
        <v>231</v>
      </c>
      <c r="D102" s="31">
        <v>0</v>
      </c>
      <c r="E102" s="31">
        <v>0</v>
      </c>
      <c r="F102" s="8">
        <f t="shared" si="2"/>
        <v>0</v>
      </c>
    </row>
    <row r="103" spans="1:6" s="25" customFormat="1" ht="17.25" hidden="1" customHeight="1">
      <c r="A103" s="68" t="s">
        <v>244</v>
      </c>
      <c r="B103" s="63"/>
      <c r="C103" s="69" t="s">
        <v>246</v>
      </c>
      <c r="D103" s="31">
        <v>0</v>
      </c>
      <c r="E103" s="31">
        <v>0</v>
      </c>
      <c r="F103" s="8">
        <f t="shared" si="2"/>
        <v>0</v>
      </c>
    </row>
    <row r="104" spans="1:6" s="25" customFormat="1" ht="17.25" hidden="1" customHeight="1">
      <c r="A104" s="68" t="s">
        <v>245</v>
      </c>
      <c r="B104" s="63"/>
      <c r="C104" s="69" t="s">
        <v>247</v>
      </c>
      <c r="D104" s="31">
        <v>0</v>
      </c>
      <c r="E104" s="31">
        <v>0</v>
      </c>
      <c r="F104" s="8">
        <f t="shared" si="2"/>
        <v>0</v>
      </c>
    </row>
    <row r="105" spans="1:6" s="264" customFormat="1">
      <c r="A105" s="261" t="s">
        <v>95</v>
      </c>
      <c r="B105" s="262" t="s">
        <v>2</v>
      </c>
      <c r="C105" s="263" t="s">
        <v>96</v>
      </c>
      <c r="D105" s="29">
        <f>D106</f>
        <v>3899423</v>
      </c>
      <c r="E105" s="29">
        <f>E106</f>
        <v>1471963</v>
      </c>
      <c r="F105" s="8">
        <f t="shared" si="2"/>
        <v>2427460</v>
      </c>
    </row>
    <row r="106" spans="1:6" s="25" customFormat="1" ht="28.5" customHeight="1">
      <c r="A106" s="70" t="s">
        <v>97</v>
      </c>
      <c r="B106" s="71" t="s">
        <v>2</v>
      </c>
      <c r="C106" s="72" t="s">
        <v>98</v>
      </c>
      <c r="D106" s="28">
        <f>D107+D114+D117+D122</f>
        <v>3899423</v>
      </c>
      <c r="E106" s="28">
        <f>E109+E112+E114+E117+E126</f>
        <v>1471963</v>
      </c>
      <c r="F106" s="8">
        <f t="shared" si="2"/>
        <v>2427460</v>
      </c>
    </row>
    <row r="107" spans="1:6" s="264" customFormat="1" ht="23.25">
      <c r="A107" s="261" t="s">
        <v>99</v>
      </c>
      <c r="B107" s="262" t="s">
        <v>2</v>
      </c>
      <c r="C107" s="263" t="s">
        <v>100</v>
      </c>
      <c r="D107" s="51">
        <f>D108</f>
        <v>2459600</v>
      </c>
      <c r="E107" s="51">
        <f>E108+E112</f>
        <v>1304634</v>
      </c>
      <c r="F107" s="8">
        <f t="shared" si="2"/>
        <v>1154966</v>
      </c>
    </row>
    <row r="108" spans="1:6" s="25" customFormat="1">
      <c r="A108" s="70" t="s">
        <v>101</v>
      </c>
      <c r="B108" s="71" t="s">
        <v>2</v>
      </c>
      <c r="C108" s="72" t="s">
        <v>102</v>
      </c>
      <c r="D108" s="28">
        <f>D109</f>
        <v>2459600</v>
      </c>
      <c r="E108" s="28">
        <f>E109</f>
        <v>1304634</v>
      </c>
      <c r="F108" s="8">
        <f t="shared" si="2"/>
        <v>1154966</v>
      </c>
    </row>
    <row r="109" spans="1:6" s="25" customFormat="1" ht="18" customHeight="1">
      <c r="A109" s="70" t="s">
        <v>103</v>
      </c>
      <c r="B109" s="71" t="s">
        <v>2</v>
      </c>
      <c r="C109" s="72" t="s">
        <v>104</v>
      </c>
      <c r="D109" s="28">
        <f>D110+D111</f>
        <v>2459600</v>
      </c>
      <c r="E109" s="28">
        <f>E110+E111</f>
        <v>1304634</v>
      </c>
      <c r="F109" s="8">
        <f t="shared" si="2"/>
        <v>1154966</v>
      </c>
    </row>
    <row r="110" spans="1:6" s="25" customFormat="1" ht="24.75" customHeight="1">
      <c r="A110" s="70" t="s">
        <v>105</v>
      </c>
      <c r="B110" s="71" t="s">
        <v>2</v>
      </c>
      <c r="C110" s="72" t="s">
        <v>106</v>
      </c>
      <c r="D110" s="28">
        <v>1166900</v>
      </c>
      <c r="E110" s="28">
        <f>97241+97200+97201+97241+97200+97201</f>
        <v>583284</v>
      </c>
      <c r="F110" s="8">
        <f t="shared" si="2"/>
        <v>583616</v>
      </c>
    </row>
    <row r="111" spans="1:6" s="25" customFormat="1" ht="29.25" customHeight="1">
      <c r="A111" s="70" t="s">
        <v>205</v>
      </c>
      <c r="B111" s="71"/>
      <c r="C111" s="72" t="s">
        <v>206</v>
      </c>
      <c r="D111" s="28">
        <v>1292700</v>
      </c>
      <c r="E111" s="28">
        <f>240450+240450+240450</f>
        <v>721350</v>
      </c>
      <c r="F111" s="8">
        <f t="shared" si="2"/>
        <v>571350</v>
      </c>
    </row>
    <row r="112" spans="1:6" s="25" customFormat="1" ht="23.25" hidden="1">
      <c r="A112" s="68" t="s">
        <v>107</v>
      </c>
      <c r="B112" s="63" t="s">
        <v>2</v>
      </c>
      <c r="C112" s="69" t="s">
        <v>108</v>
      </c>
      <c r="D112" s="31">
        <f>D113</f>
        <v>0</v>
      </c>
      <c r="E112" s="31">
        <f>E113</f>
        <v>0</v>
      </c>
      <c r="F112" s="8">
        <f t="shared" si="2"/>
        <v>0</v>
      </c>
    </row>
    <row r="113" spans="1:6" s="25" customFormat="1" ht="28.5" hidden="1" customHeight="1">
      <c r="A113" s="68" t="s">
        <v>109</v>
      </c>
      <c r="B113" s="63" t="s">
        <v>2</v>
      </c>
      <c r="C113" s="69" t="s">
        <v>110</v>
      </c>
      <c r="D113" s="31">
        <v>0</v>
      </c>
      <c r="E113" s="31">
        <v>0</v>
      </c>
      <c r="F113" s="8">
        <f t="shared" si="2"/>
        <v>0</v>
      </c>
    </row>
    <row r="114" spans="1:6" s="25" customFormat="1" ht="23.25" hidden="1">
      <c r="A114" s="70" t="s">
        <v>216</v>
      </c>
      <c r="B114" s="71" t="s">
        <v>2</v>
      </c>
      <c r="C114" s="72" t="s">
        <v>111</v>
      </c>
      <c r="D114" s="28">
        <f>D115</f>
        <v>0</v>
      </c>
      <c r="E114" s="28">
        <f>E115</f>
        <v>0</v>
      </c>
      <c r="F114" s="8">
        <f t="shared" si="2"/>
        <v>0</v>
      </c>
    </row>
    <row r="115" spans="1:6" s="25" customFormat="1" hidden="1">
      <c r="A115" s="70" t="s">
        <v>112</v>
      </c>
      <c r="B115" s="71" t="s">
        <v>2</v>
      </c>
      <c r="C115" s="72" t="s">
        <v>113</v>
      </c>
      <c r="D115" s="28">
        <f>D116</f>
        <v>0</v>
      </c>
      <c r="E115" s="28">
        <f>E116</f>
        <v>0</v>
      </c>
      <c r="F115" s="8">
        <f t="shared" si="2"/>
        <v>0</v>
      </c>
    </row>
    <row r="116" spans="1:6" s="25" customFormat="1" hidden="1">
      <c r="A116" s="70" t="s">
        <v>539</v>
      </c>
      <c r="B116" s="71" t="s">
        <v>2</v>
      </c>
      <c r="C116" s="72" t="s">
        <v>540</v>
      </c>
      <c r="D116" s="28">
        <v>0</v>
      </c>
      <c r="E116" s="28">
        <v>0</v>
      </c>
      <c r="F116" s="8">
        <f t="shared" si="2"/>
        <v>0</v>
      </c>
    </row>
    <row r="117" spans="1:6" s="264" customFormat="1" ht="23.25">
      <c r="A117" s="261" t="s">
        <v>114</v>
      </c>
      <c r="B117" s="262" t="s">
        <v>2</v>
      </c>
      <c r="C117" s="263" t="s">
        <v>115</v>
      </c>
      <c r="D117" s="51">
        <f>D118+D120</f>
        <v>96043</v>
      </c>
      <c r="E117" s="51">
        <f>E118+E120</f>
        <v>55029</v>
      </c>
      <c r="F117" s="8">
        <f t="shared" si="2"/>
        <v>41014</v>
      </c>
    </row>
    <row r="118" spans="1:6" s="25" customFormat="1" ht="26.25" customHeight="1">
      <c r="A118" s="70" t="s">
        <v>116</v>
      </c>
      <c r="B118" s="71" t="s">
        <v>2</v>
      </c>
      <c r="C118" s="72" t="s">
        <v>117</v>
      </c>
      <c r="D118" s="28">
        <f>96900-7800+1950</f>
        <v>91050</v>
      </c>
      <c r="E118" s="28">
        <f>E119</f>
        <v>52533</v>
      </c>
      <c r="F118" s="8">
        <f t="shared" si="2"/>
        <v>38517</v>
      </c>
    </row>
    <row r="119" spans="1:6" s="25" customFormat="1" ht="29.25" customHeight="1">
      <c r="A119" s="70" t="s">
        <v>118</v>
      </c>
      <c r="B119" s="71" t="s">
        <v>2</v>
      </c>
      <c r="C119" s="72" t="s">
        <v>119</v>
      </c>
      <c r="D119" s="28">
        <f>89100+1950</f>
        <v>91050</v>
      </c>
      <c r="E119" s="28">
        <f>7425+7425+7425+7425+22833</f>
        <v>52533</v>
      </c>
      <c r="F119" s="8">
        <f t="shared" si="2"/>
        <v>38517</v>
      </c>
    </row>
    <row r="120" spans="1:6" s="25" customFormat="1" ht="25.5" customHeight="1">
      <c r="A120" s="70" t="s">
        <v>120</v>
      </c>
      <c r="B120" s="71" t="s">
        <v>2</v>
      </c>
      <c r="C120" s="72" t="s">
        <v>121</v>
      </c>
      <c r="D120" s="28">
        <f>D121</f>
        <v>4993</v>
      </c>
      <c r="E120" s="28">
        <f>E121</f>
        <v>2496</v>
      </c>
      <c r="F120" s="8">
        <f t="shared" si="2"/>
        <v>2497</v>
      </c>
    </row>
    <row r="121" spans="1:6" s="290" customFormat="1" ht="51" customHeight="1">
      <c r="A121" s="70" t="s">
        <v>122</v>
      </c>
      <c r="B121" s="71" t="s">
        <v>2</v>
      </c>
      <c r="C121" s="72" t="s">
        <v>123</v>
      </c>
      <c r="D121" s="28">
        <v>4993</v>
      </c>
      <c r="E121" s="28">
        <f>1248+1248</f>
        <v>2496</v>
      </c>
      <c r="F121" s="8">
        <f t="shared" si="2"/>
        <v>2497</v>
      </c>
    </row>
    <row r="122" spans="1:6" s="291" customFormat="1">
      <c r="A122" s="18" t="s">
        <v>124</v>
      </c>
      <c r="B122" s="19" t="s">
        <v>2</v>
      </c>
      <c r="C122" s="20" t="s">
        <v>125</v>
      </c>
      <c r="D122" s="51">
        <f>D123</f>
        <v>1343780</v>
      </c>
      <c r="E122" s="21">
        <v>0</v>
      </c>
      <c r="F122" s="8">
        <f t="shared" si="2"/>
        <v>1343780</v>
      </c>
    </row>
    <row r="123" spans="1:6" s="292" customFormat="1">
      <c r="A123" s="14" t="s">
        <v>126</v>
      </c>
      <c r="B123" s="15" t="s">
        <v>2</v>
      </c>
      <c r="C123" s="16" t="s">
        <v>127</v>
      </c>
      <c r="D123" s="28">
        <f>D124</f>
        <v>1343780</v>
      </c>
      <c r="E123" s="12">
        <v>0</v>
      </c>
      <c r="F123" s="8">
        <f t="shared" si="2"/>
        <v>1343780</v>
      </c>
    </row>
    <row r="124" spans="1:6" s="292" customFormat="1" ht="23.25">
      <c r="A124" s="14" t="s">
        <v>541</v>
      </c>
      <c r="B124" s="15" t="s">
        <v>2</v>
      </c>
      <c r="C124" s="16" t="s">
        <v>542</v>
      </c>
      <c r="D124" s="28">
        <f>D126+D131+D127+D128+D125+D129+D130</f>
        <v>1343780</v>
      </c>
      <c r="E124" s="12">
        <f>E125+E126+E127+E128+E131</f>
        <v>112300</v>
      </c>
      <c r="F124" s="8">
        <f t="shared" si="2"/>
        <v>1231480</v>
      </c>
    </row>
    <row r="125" spans="1:6" ht="57">
      <c r="A125" s="293" t="s">
        <v>543</v>
      </c>
      <c r="B125" s="15"/>
      <c r="C125" s="16" t="s">
        <v>544</v>
      </c>
      <c r="D125" s="28">
        <v>3000</v>
      </c>
      <c r="E125" s="28">
        <v>0</v>
      </c>
      <c r="F125" s="8">
        <f>D125-E125</f>
        <v>3000</v>
      </c>
    </row>
    <row r="126" spans="1:6" s="292" customFormat="1" ht="71.25" customHeight="1">
      <c r="A126" s="47" t="s">
        <v>545</v>
      </c>
      <c r="B126" s="15" t="s">
        <v>2</v>
      </c>
      <c r="C126" s="16" t="s">
        <v>494</v>
      </c>
      <c r="D126" s="28">
        <v>138600</v>
      </c>
      <c r="E126" s="12">
        <f>69300+43000</f>
        <v>112300</v>
      </c>
      <c r="F126" s="8">
        <f t="shared" si="2"/>
        <v>26300</v>
      </c>
    </row>
    <row r="127" spans="1:6" s="292" customFormat="1" ht="70.5" customHeight="1">
      <c r="A127" s="47" t="s">
        <v>411</v>
      </c>
      <c r="B127" s="15" t="s">
        <v>2</v>
      </c>
      <c r="C127" s="16" t="s">
        <v>410</v>
      </c>
      <c r="D127" s="28">
        <v>13600</v>
      </c>
      <c r="E127" s="12">
        <v>0</v>
      </c>
      <c r="F127" s="8">
        <f t="shared" si="2"/>
        <v>13600</v>
      </c>
    </row>
    <row r="128" spans="1:6" s="292" customFormat="1" ht="57" customHeight="1">
      <c r="A128" s="246" t="s">
        <v>546</v>
      </c>
      <c r="B128" s="71"/>
      <c r="C128" s="72" t="s">
        <v>547</v>
      </c>
      <c r="D128" s="28">
        <v>34950</v>
      </c>
      <c r="E128" s="28">
        <v>0</v>
      </c>
      <c r="F128" s="28">
        <f>D128-E128</f>
        <v>34950</v>
      </c>
    </row>
    <row r="129" spans="1:9" s="292" customFormat="1" ht="60" customHeight="1">
      <c r="A129" s="246" t="s">
        <v>548</v>
      </c>
      <c r="B129" s="71"/>
      <c r="C129" s="72" t="s">
        <v>549</v>
      </c>
      <c r="D129" s="28">
        <v>1000000</v>
      </c>
      <c r="E129" s="28">
        <v>0</v>
      </c>
      <c r="F129" s="28">
        <f>D129-E129</f>
        <v>1000000</v>
      </c>
    </row>
    <row r="130" spans="1:9" s="292" customFormat="1" ht="40.5" customHeight="1">
      <c r="A130" s="47" t="s">
        <v>550</v>
      </c>
      <c r="B130" s="15" t="s">
        <v>2</v>
      </c>
      <c r="C130" s="16" t="s">
        <v>297</v>
      </c>
      <c r="D130" s="28">
        <v>150000</v>
      </c>
      <c r="E130" s="28">
        <v>0</v>
      </c>
      <c r="F130" s="28">
        <f t="shared" ref="F130:F131" si="4">D130-E130</f>
        <v>150000</v>
      </c>
    </row>
    <row r="131" spans="1:9" s="292" customFormat="1" ht="50.25" customHeight="1">
      <c r="A131" s="47" t="s">
        <v>551</v>
      </c>
      <c r="B131" s="15" t="s">
        <v>2</v>
      </c>
      <c r="C131" s="16" t="s">
        <v>129</v>
      </c>
      <c r="D131" s="28">
        <v>3630</v>
      </c>
      <c r="E131" s="28">
        <v>0</v>
      </c>
      <c r="F131" s="28">
        <f t="shared" si="4"/>
        <v>3630</v>
      </c>
    </row>
    <row r="132" spans="1:9" s="294" customFormat="1">
      <c r="D132" s="290"/>
    </row>
    <row r="133" spans="1:9" ht="18.75">
      <c r="A133" s="255" t="s">
        <v>503</v>
      </c>
      <c r="B133" s="255"/>
      <c r="C133" s="256" t="s">
        <v>504</v>
      </c>
      <c r="D133"/>
      <c r="G133" s="25"/>
      <c r="I133" s="30"/>
    </row>
    <row r="134" spans="1:9">
      <c r="D134"/>
      <c r="G134" s="25"/>
      <c r="I134" s="30"/>
    </row>
    <row r="135" spans="1:9" ht="18.75">
      <c r="A135" s="298"/>
      <c r="C135" s="256"/>
      <c r="D135"/>
      <c r="G135" s="25"/>
      <c r="I135" s="30"/>
    </row>
    <row r="136" spans="1:9">
      <c r="F136" s="30"/>
    </row>
  </sheetData>
  <autoFilter ref="A18:F18"/>
  <mergeCells count="12">
    <mergeCell ref="E1:F1"/>
    <mergeCell ref="B6:F6"/>
    <mergeCell ref="A8:D8"/>
    <mergeCell ref="A9:A15"/>
    <mergeCell ref="B9:B15"/>
    <mergeCell ref="C9:C15"/>
    <mergeCell ref="D9:D15"/>
    <mergeCell ref="E9:E15"/>
    <mergeCell ref="F9:F15"/>
    <mergeCell ref="A1:D1"/>
    <mergeCell ref="A2:D2"/>
    <mergeCell ref="A4:D4"/>
  </mergeCells>
  <conditionalFormatting sqref="F18:F127 F136 I133:I135">
    <cfRule type="cellIs" dxfId="2" priority="2" stopIfTrue="1" operator="equal">
      <formula>0</formula>
    </cfRule>
  </conditionalFormatting>
  <conditionalFormatting sqref="F125">
    <cfRule type="cellIs" dxfId="1" priority="1" stopIfTrue="1" operator="equal">
      <formula>0</formula>
    </cfRule>
  </conditionalFormatting>
  <pageMargins left="0.6692913385826772" right="0.19685039370078741" top="0.39370078740157483" bottom="0.19685039370078741" header="0.31496062992125984" footer="0.31496062992125984"/>
  <pageSetup paperSize="9" scale="7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3"/>
  <sheetViews>
    <sheetView topLeftCell="A205" zoomScale="115" zoomScaleNormal="115" workbookViewId="0">
      <selection activeCell="C223" sqref="C223"/>
    </sheetView>
  </sheetViews>
  <sheetFormatPr defaultRowHeight="15"/>
  <cols>
    <col min="1" max="1" width="42.42578125" customWidth="1"/>
    <col min="2" max="2" width="4.28515625" customWidth="1"/>
    <col min="3" max="3" width="21.7109375" customWidth="1"/>
    <col min="4" max="4" width="17.42578125" customWidth="1"/>
    <col min="5" max="5" width="18.140625" hidden="1" customWidth="1"/>
    <col min="6" max="6" width="16.5703125" customWidth="1"/>
    <col min="7" max="7" width="16.7109375" customWidth="1"/>
    <col min="8" max="8" width="17.140625" customWidth="1"/>
    <col min="9" max="9" width="20.28515625" hidden="1" customWidth="1"/>
  </cols>
  <sheetData>
    <row r="1" spans="1:9" ht="8.25" customHeight="1"/>
    <row r="2" spans="1:9" s="36" customFormat="1">
      <c r="A2" s="311" t="s">
        <v>385</v>
      </c>
      <c r="B2" s="311"/>
      <c r="C2" s="311"/>
      <c r="D2" s="311"/>
      <c r="E2" s="257"/>
      <c r="F2" s="257"/>
      <c r="G2" s="257"/>
      <c r="H2" s="215"/>
    </row>
    <row r="3" spans="1:9" ht="6.75" customHeight="1">
      <c r="A3" s="9"/>
      <c r="B3" s="9"/>
      <c r="C3" s="10"/>
      <c r="D3" s="11"/>
      <c r="E3" s="11"/>
      <c r="F3" s="11"/>
      <c r="G3" s="11"/>
      <c r="H3" s="11"/>
    </row>
    <row r="4" spans="1:9" ht="15" customHeight="1">
      <c r="A4" s="312" t="s">
        <v>5</v>
      </c>
      <c r="B4" s="306" t="s">
        <v>6</v>
      </c>
      <c r="C4" s="306" t="s">
        <v>130</v>
      </c>
      <c r="D4" s="304" t="s">
        <v>8</v>
      </c>
      <c r="E4" s="313" t="s">
        <v>395</v>
      </c>
      <c r="F4" s="308" t="s">
        <v>555</v>
      </c>
      <c r="G4" s="321" t="s">
        <v>9</v>
      </c>
      <c r="H4" s="304" t="s">
        <v>10</v>
      </c>
      <c r="I4" s="147"/>
    </row>
    <row r="5" spans="1:9" ht="8.25" customHeight="1">
      <c r="A5" s="312"/>
      <c r="B5" s="306"/>
      <c r="C5" s="306"/>
      <c r="D5" s="304"/>
      <c r="E5" s="314"/>
      <c r="F5" s="309"/>
      <c r="G5" s="321"/>
      <c r="H5" s="304"/>
      <c r="I5" s="147"/>
    </row>
    <row r="6" spans="1:9">
      <c r="A6" s="312"/>
      <c r="B6" s="306"/>
      <c r="C6" s="306"/>
      <c r="D6" s="304"/>
      <c r="E6" s="314"/>
      <c r="F6" s="309"/>
      <c r="G6" s="321"/>
      <c r="H6" s="304"/>
      <c r="I6" s="147"/>
    </row>
    <row r="7" spans="1:9" ht="2.25" customHeight="1">
      <c r="A7" s="312"/>
      <c r="B7" s="306"/>
      <c r="C7" s="306"/>
      <c r="D7" s="304"/>
      <c r="E7" s="314"/>
      <c r="F7" s="309"/>
      <c r="G7" s="321"/>
      <c r="H7" s="304"/>
      <c r="I7" s="147"/>
    </row>
    <row r="8" spans="1:9" ht="6" customHeight="1">
      <c r="A8" s="312"/>
      <c r="B8" s="306"/>
      <c r="C8" s="306"/>
      <c r="D8" s="304"/>
      <c r="E8" s="314"/>
      <c r="F8" s="309"/>
      <c r="G8" s="321"/>
      <c r="H8" s="304"/>
      <c r="I8" s="147"/>
    </row>
    <row r="9" spans="1:9" ht="15" hidden="1" customHeight="1">
      <c r="A9" s="312"/>
      <c r="B9" s="306"/>
      <c r="C9" s="306"/>
      <c r="D9" s="304"/>
      <c r="E9" s="314"/>
      <c r="F9" s="309"/>
      <c r="G9" s="321"/>
      <c r="H9" s="304"/>
      <c r="I9" s="147"/>
    </row>
    <row r="10" spans="1:9" ht="15" hidden="1" customHeight="1">
      <c r="A10" s="312"/>
      <c r="B10" s="306"/>
      <c r="C10" s="306"/>
      <c r="D10" s="304"/>
      <c r="E10" s="314"/>
      <c r="F10" s="309"/>
      <c r="G10" s="321"/>
      <c r="H10" s="304"/>
      <c r="I10" s="147"/>
    </row>
    <row r="11" spans="1:9" ht="22.5" customHeight="1">
      <c r="A11" s="312"/>
      <c r="B11" s="306"/>
      <c r="C11" s="306"/>
      <c r="D11" s="304"/>
      <c r="E11" s="315"/>
      <c r="F11" s="310"/>
      <c r="G11" s="321"/>
      <c r="H11" s="304"/>
      <c r="I11" s="147"/>
    </row>
    <row r="12" spans="1:9" ht="9.75" customHeight="1">
      <c r="A12" s="258">
        <v>1</v>
      </c>
      <c r="B12" s="258">
        <v>2</v>
      </c>
      <c r="C12" s="258">
        <v>3</v>
      </c>
      <c r="D12" s="260" t="s">
        <v>11</v>
      </c>
      <c r="E12" s="260"/>
      <c r="F12" s="260"/>
      <c r="G12" s="260" t="s">
        <v>12</v>
      </c>
      <c r="H12" s="260" t="s">
        <v>13</v>
      </c>
      <c r="I12" s="147"/>
    </row>
    <row r="13" spans="1:9" ht="22.5" customHeight="1">
      <c r="A13" s="145" t="s">
        <v>131</v>
      </c>
      <c r="B13" s="145"/>
      <c r="C13" s="145"/>
      <c r="D13" s="216">
        <f>D15+D76</f>
        <v>4507043</v>
      </c>
      <c r="E13" s="216">
        <f>E15+E76</f>
        <v>391015.62</v>
      </c>
      <c r="F13" s="216">
        <f>F15+F76</f>
        <v>5746963.3600000003</v>
      </c>
      <c r="G13" s="216">
        <f>G15+G76</f>
        <v>1807265.3900000001</v>
      </c>
      <c r="H13" s="216">
        <f>F13-G13</f>
        <v>3939697.97</v>
      </c>
      <c r="I13" s="156"/>
    </row>
    <row r="14" spans="1:9">
      <c r="A14" s="146" t="s">
        <v>16</v>
      </c>
      <c r="B14" s="147"/>
      <c r="C14" s="148"/>
      <c r="D14" s="217"/>
      <c r="E14" s="217"/>
      <c r="F14" s="217"/>
      <c r="G14" s="218"/>
      <c r="H14" s="218"/>
      <c r="I14" s="156"/>
    </row>
    <row r="15" spans="1:9" ht="18">
      <c r="A15" s="145" t="s">
        <v>386</v>
      </c>
      <c r="B15" s="150"/>
      <c r="C15" s="151"/>
      <c r="D15" s="219">
        <f>D16+D21+D26+D33+D51+D54+D60+D63+D68</f>
        <v>2845844</v>
      </c>
      <c r="E15" s="219">
        <f>E16+E21+E26+E33+E51+E54+E60+E63+E68</f>
        <v>371464.63</v>
      </c>
      <c r="F15" s="219">
        <f>F16+F21+F26+F33+F51+F54+F60+F63+F68+F50</f>
        <v>2842994</v>
      </c>
      <c r="G15" s="219">
        <f>G16+G21+G26+G33+G51+G54+G60+G63+G68</f>
        <v>1310576.77</v>
      </c>
      <c r="H15" s="219">
        <f>H16+H21+H26+H33+H51+H54+H60+H63+H68</f>
        <v>1522417.23</v>
      </c>
      <c r="I15" s="156"/>
    </row>
    <row r="16" spans="1:9" ht="35.25" customHeight="1">
      <c r="A16" s="77" t="s">
        <v>132</v>
      </c>
      <c r="B16" s="152" t="s">
        <v>2</v>
      </c>
      <c r="C16" s="153" t="s">
        <v>414</v>
      </c>
      <c r="D16" s="17">
        <f>D17</f>
        <v>584213</v>
      </c>
      <c r="E16" s="17">
        <f t="shared" ref="E16:F16" si="0">E17</f>
        <v>0</v>
      </c>
      <c r="F16" s="17">
        <f t="shared" si="0"/>
        <v>584213</v>
      </c>
      <c r="G16" s="17">
        <f>G17</f>
        <v>292105.28000000003</v>
      </c>
      <c r="H16" s="17">
        <f>F16-G16</f>
        <v>292107.71999999997</v>
      </c>
      <c r="I16" s="147"/>
    </row>
    <row r="17" spans="1:9" s="37" customFormat="1" hidden="1">
      <c r="A17" s="14" t="s">
        <v>133</v>
      </c>
      <c r="B17" s="15" t="s">
        <v>2</v>
      </c>
      <c r="C17" s="16" t="s">
        <v>134</v>
      </c>
      <c r="D17" s="12">
        <f>D18</f>
        <v>584213</v>
      </c>
      <c r="E17" s="12"/>
      <c r="F17" s="17">
        <f t="shared" ref="F17:F73" si="1">E17+D17</f>
        <v>584213</v>
      </c>
      <c r="G17" s="12">
        <f>G18</f>
        <v>292105.28000000003</v>
      </c>
      <c r="H17" s="17">
        <f t="shared" ref="H17:H74" si="2">F17-G17</f>
        <v>292107.71999999997</v>
      </c>
      <c r="I17" s="170"/>
    </row>
    <row r="18" spans="1:9" s="37" customFormat="1" ht="23.25" hidden="1">
      <c r="A18" s="14" t="s">
        <v>135</v>
      </c>
      <c r="B18" s="15" t="s">
        <v>2</v>
      </c>
      <c r="C18" s="16" t="s">
        <v>136</v>
      </c>
      <c r="D18" s="12">
        <f>D19+D20</f>
        <v>584213</v>
      </c>
      <c r="E18" s="12"/>
      <c r="F18" s="17">
        <f t="shared" si="1"/>
        <v>584213</v>
      </c>
      <c r="G18" s="12">
        <f>G19+G20</f>
        <v>292105.28000000003</v>
      </c>
      <c r="H18" s="17">
        <f t="shared" si="2"/>
        <v>292107.71999999997</v>
      </c>
      <c r="I18" s="170"/>
    </row>
    <row r="19" spans="1:9" s="37" customFormat="1" ht="16.5" customHeight="1">
      <c r="A19" s="14" t="s">
        <v>137</v>
      </c>
      <c r="B19" s="15" t="s">
        <v>2</v>
      </c>
      <c r="C19" s="16" t="s">
        <v>415</v>
      </c>
      <c r="D19" s="12">
        <v>448704</v>
      </c>
      <c r="E19" s="12">
        <v>448704</v>
      </c>
      <c r="F19" s="12">
        <v>448704</v>
      </c>
      <c r="G19" s="12">
        <v>224351</v>
      </c>
      <c r="H19" s="8">
        <f t="shared" si="2"/>
        <v>224353</v>
      </c>
      <c r="I19" s="163"/>
    </row>
    <row r="20" spans="1:9" s="37" customFormat="1" ht="14.25" customHeight="1">
      <c r="A20" s="14" t="s">
        <v>138</v>
      </c>
      <c r="B20" s="15" t="s">
        <v>2</v>
      </c>
      <c r="C20" s="16" t="s">
        <v>416</v>
      </c>
      <c r="D20" s="12">
        <v>135509</v>
      </c>
      <c r="E20" s="12">
        <v>135509</v>
      </c>
      <c r="F20" s="12">
        <v>135509</v>
      </c>
      <c r="G20" s="12">
        <v>67754.28</v>
      </c>
      <c r="H20" s="8">
        <f t="shared" si="2"/>
        <v>67754.720000000001</v>
      </c>
      <c r="I20" s="163"/>
    </row>
    <row r="21" spans="1:9" ht="45.75">
      <c r="A21" s="77" t="s">
        <v>139</v>
      </c>
      <c r="B21" s="152" t="s">
        <v>2</v>
      </c>
      <c r="C21" s="153" t="s">
        <v>417</v>
      </c>
      <c r="D21" s="17">
        <f>D22</f>
        <v>1678709</v>
      </c>
      <c r="E21" s="17">
        <f t="shared" ref="E21" si="3">E22</f>
        <v>0</v>
      </c>
      <c r="F21" s="17">
        <f>F24+F25</f>
        <v>1681709</v>
      </c>
      <c r="G21" s="17">
        <f>G22</f>
        <v>805626.7</v>
      </c>
      <c r="H21" s="17">
        <f t="shared" si="2"/>
        <v>876082.3</v>
      </c>
      <c r="I21" s="147"/>
    </row>
    <row r="22" spans="1:9" s="37" customFormat="1" hidden="1">
      <c r="A22" s="14" t="s">
        <v>133</v>
      </c>
      <c r="B22" s="15" t="s">
        <v>2</v>
      </c>
      <c r="C22" s="16" t="s">
        <v>140</v>
      </c>
      <c r="D22" s="12">
        <f>D23</f>
        <v>1678709</v>
      </c>
      <c r="E22" s="12"/>
      <c r="F22" s="17">
        <f t="shared" si="1"/>
        <v>1678709</v>
      </c>
      <c r="G22" s="12">
        <f>G23</f>
        <v>805626.7</v>
      </c>
      <c r="H22" s="17">
        <f t="shared" si="2"/>
        <v>873082.3</v>
      </c>
      <c r="I22" s="163"/>
    </row>
    <row r="23" spans="1:9" s="37" customFormat="1" ht="23.25" hidden="1">
      <c r="A23" s="14" t="s">
        <v>135</v>
      </c>
      <c r="B23" s="15" t="s">
        <v>2</v>
      </c>
      <c r="C23" s="16" t="s">
        <v>141</v>
      </c>
      <c r="D23" s="12">
        <f>D24+D25</f>
        <v>1678709</v>
      </c>
      <c r="E23" s="12"/>
      <c r="F23" s="17">
        <f t="shared" si="1"/>
        <v>1678709</v>
      </c>
      <c r="G23" s="12">
        <f>G24+G25</f>
        <v>805626.7</v>
      </c>
      <c r="H23" s="17">
        <f t="shared" si="2"/>
        <v>873082.3</v>
      </c>
      <c r="I23" s="163"/>
    </row>
    <row r="24" spans="1:9" s="37" customFormat="1">
      <c r="A24" s="14" t="s">
        <v>137</v>
      </c>
      <c r="B24" s="15" t="s">
        <v>2</v>
      </c>
      <c r="C24" s="16" t="s">
        <v>418</v>
      </c>
      <c r="D24" s="12">
        <v>1289331</v>
      </c>
      <c r="E24" s="12">
        <v>1289331</v>
      </c>
      <c r="F24" s="12">
        <v>1291635.1499999999</v>
      </c>
      <c r="G24" s="12">
        <v>618997.14</v>
      </c>
      <c r="H24" s="8">
        <f t="shared" si="2"/>
        <v>672638.00999999989</v>
      </c>
      <c r="I24" s="163"/>
    </row>
    <row r="25" spans="1:9" s="37" customFormat="1">
      <c r="A25" s="14" t="s">
        <v>138</v>
      </c>
      <c r="B25" s="15" t="s">
        <v>2</v>
      </c>
      <c r="C25" s="16" t="s">
        <v>419</v>
      </c>
      <c r="D25" s="12">
        <v>389378</v>
      </c>
      <c r="E25" s="12">
        <v>389378</v>
      </c>
      <c r="F25" s="12">
        <v>390073.85</v>
      </c>
      <c r="G25" s="12">
        <v>186629.56</v>
      </c>
      <c r="H25" s="8">
        <f t="shared" si="2"/>
        <v>203444.28999999998</v>
      </c>
      <c r="I25" s="163"/>
    </row>
    <row r="26" spans="1:9" ht="45.75">
      <c r="A26" s="77" t="s">
        <v>139</v>
      </c>
      <c r="B26" s="152" t="s">
        <v>2</v>
      </c>
      <c r="C26" s="153" t="s">
        <v>142</v>
      </c>
      <c r="D26" s="17">
        <f>D27</f>
        <v>7918</v>
      </c>
      <c r="E26" s="17">
        <f t="shared" ref="E26:F26" si="4">E27</f>
        <v>7918</v>
      </c>
      <c r="F26" s="17">
        <f t="shared" si="4"/>
        <v>7918</v>
      </c>
      <c r="G26" s="17">
        <f>G27</f>
        <v>2961.4</v>
      </c>
      <c r="H26" s="17">
        <f t="shared" si="2"/>
        <v>4956.6000000000004</v>
      </c>
      <c r="I26" s="147"/>
    </row>
    <row r="27" spans="1:9" s="37" customFormat="1">
      <c r="A27" s="14" t="s">
        <v>327</v>
      </c>
      <c r="B27" s="15" t="s">
        <v>2</v>
      </c>
      <c r="C27" s="16" t="s">
        <v>143</v>
      </c>
      <c r="D27" s="12">
        <v>7918</v>
      </c>
      <c r="E27" s="12">
        <v>7918</v>
      </c>
      <c r="F27" s="12">
        <v>7918</v>
      </c>
      <c r="G27" s="12">
        <v>2961.4</v>
      </c>
      <c r="H27" s="8">
        <f t="shared" si="2"/>
        <v>4956.6000000000004</v>
      </c>
      <c r="I27" s="163"/>
    </row>
    <row r="28" spans="1:9" s="37" customFormat="1" ht="23.25" hidden="1">
      <c r="A28" s="14" t="s">
        <v>135</v>
      </c>
      <c r="B28" s="15" t="s">
        <v>2</v>
      </c>
      <c r="C28" s="16" t="s">
        <v>144</v>
      </c>
      <c r="D28" s="12">
        <f>D29</f>
        <v>2500</v>
      </c>
      <c r="E28" s="12"/>
      <c r="F28" s="17">
        <f t="shared" si="1"/>
        <v>2500</v>
      </c>
      <c r="G28" s="12">
        <f>G29</f>
        <v>0</v>
      </c>
      <c r="H28" s="17">
        <f t="shared" si="2"/>
        <v>2500</v>
      </c>
      <c r="I28" s="163"/>
    </row>
    <row r="29" spans="1:9" s="37" customFormat="1" hidden="1">
      <c r="A29" s="14" t="s">
        <v>145</v>
      </c>
      <c r="B29" s="15" t="s">
        <v>2</v>
      </c>
      <c r="C29" s="16" t="s">
        <v>146</v>
      </c>
      <c r="D29" s="12">
        <v>2500</v>
      </c>
      <c r="E29" s="12"/>
      <c r="F29" s="17">
        <f t="shared" si="1"/>
        <v>2500</v>
      </c>
      <c r="G29" s="12">
        <v>0</v>
      </c>
      <c r="H29" s="17">
        <f t="shared" si="2"/>
        <v>2500</v>
      </c>
      <c r="I29" s="163"/>
    </row>
    <row r="30" spans="1:9" s="37" customFormat="1" hidden="1">
      <c r="A30" s="14" t="s">
        <v>147</v>
      </c>
      <c r="B30" s="15" t="s">
        <v>2</v>
      </c>
      <c r="C30" s="16" t="s">
        <v>148</v>
      </c>
      <c r="D30" s="12">
        <f>D31+D32</f>
        <v>10000</v>
      </c>
      <c r="E30" s="12"/>
      <c r="F30" s="17">
        <f t="shared" si="1"/>
        <v>10000</v>
      </c>
      <c r="G30" s="12">
        <f>G31+G32</f>
        <v>0</v>
      </c>
      <c r="H30" s="17">
        <f t="shared" si="2"/>
        <v>10000</v>
      </c>
      <c r="I30" s="163"/>
    </row>
    <row r="31" spans="1:9" s="37" customFormat="1" hidden="1">
      <c r="A31" s="14" t="s">
        <v>149</v>
      </c>
      <c r="B31" s="15" t="s">
        <v>2</v>
      </c>
      <c r="C31" s="16" t="s">
        <v>150</v>
      </c>
      <c r="D31" s="12">
        <v>4800</v>
      </c>
      <c r="E31" s="12"/>
      <c r="F31" s="17">
        <f t="shared" si="1"/>
        <v>4800</v>
      </c>
      <c r="G31" s="12">
        <v>0</v>
      </c>
      <c r="H31" s="17">
        <f t="shared" si="2"/>
        <v>4800</v>
      </c>
      <c r="I31" s="163"/>
    </row>
    <row r="32" spans="1:9" s="37" customFormat="1" hidden="1">
      <c r="A32" s="14" t="s">
        <v>151</v>
      </c>
      <c r="B32" s="15" t="s">
        <v>2</v>
      </c>
      <c r="C32" s="16" t="s">
        <v>152</v>
      </c>
      <c r="D32" s="12">
        <v>5200</v>
      </c>
      <c r="E32" s="12"/>
      <c r="F32" s="17">
        <f t="shared" si="1"/>
        <v>5200</v>
      </c>
      <c r="G32" s="12">
        <v>0</v>
      </c>
      <c r="H32" s="17">
        <f t="shared" si="2"/>
        <v>5200</v>
      </c>
      <c r="I32" s="163"/>
    </row>
    <row r="33" spans="1:9" ht="45.75">
      <c r="A33" s="77" t="s">
        <v>139</v>
      </c>
      <c r="B33" s="152" t="s">
        <v>2</v>
      </c>
      <c r="C33" s="171" t="s">
        <v>420</v>
      </c>
      <c r="D33" s="17">
        <f>D34+D40</f>
        <v>422111</v>
      </c>
      <c r="E33" s="17">
        <f>E34+E40</f>
        <v>232300</v>
      </c>
      <c r="F33" s="17">
        <f>F34+F40</f>
        <v>412111</v>
      </c>
      <c r="G33" s="17">
        <f>G34+G40</f>
        <v>167968.58</v>
      </c>
      <c r="H33" s="17">
        <f t="shared" si="2"/>
        <v>244142.42</v>
      </c>
      <c r="I33" s="147"/>
    </row>
    <row r="34" spans="1:9" s="37" customFormat="1">
      <c r="A34" s="14" t="s">
        <v>328</v>
      </c>
      <c r="B34" s="15" t="s">
        <v>2</v>
      </c>
      <c r="C34" s="16" t="s">
        <v>421</v>
      </c>
      <c r="D34" s="12">
        <f>D35+D39</f>
        <v>189811</v>
      </c>
      <c r="E34" s="12">
        <f>E35+E50</f>
        <v>0</v>
      </c>
      <c r="F34" s="12">
        <f>F36+F37+F38</f>
        <v>177939.52000000002</v>
      </c>
      <c r="G34" s="12">
        <f>G35+G50</f>
        <v>72313.579999999987</v>
      </c>
      <c r="H34" s="8">
        <f t="shared" si="2"/>
        <v>105625.94000000003</v>
      </c>
      <c r="I34" s="163"/>
    </row>
    <row r="35" spans="1:9" s="37" customFormat="1" hidden="1">
      <c r="A35" s="14" t="s">
        <v>147</v>
      </c>
      <c r="B35" s="15" t="s">
        <v>2</v>
      </c>
      <c r="C35" s="16" t="s">
        <v>153</v>
      </c>
      <c r="D35" s="12">
        <f>D36+D37+D38</f>
        <v>179811</v>
      </c>
      <c r="E35" s="12"/>
      <c r="F35" s="17">
        <f t="shared" si="1"/>
        <v>179811</v>
      </c>
      <c r="G35" s="12">
        <f>G36+G37+G38</f>
        <v>62313.579999999994</v>
      </c>
      <c r="H35" s="8">
        <f t="shared" si="2"/>
        <v>117497.42000000001</v>
      </c>
      <c r="I35" s="163"/>
    </row>
    <row r="36" spans="1:9" s="37" customFormat="1">
      <c r="A36" s="14" t="s">
        <v>154</v>
      </c>
      <c r="B36" s="15" t="s">
        <v>2</v>
      </c>
      <c r="C36" s="16" t="s">
        <v>422</v>
      </c>
      <c r="D36" s="12">
        <v>20400</v>
      </c>
      <c r="E36" s="12"/>
      <c r="F36" s="8">
        <f>E36+D36-1871.48</f>
        <v>18528.52</v>
      </c>
      <c r="G36" s="12">
        <v>5187.74</v>
      </c>
      <c r="H36" s="8">
        <f t="shared" si="2"/>
        <v>13340.78</v>
      </c>
      <c r="I36" s="163"/>
    </row>
    <row r="37" spans="1:9" s="37" customFormat="1">
      <c r="A37" s="14" t="s">
        <v>155</v>
      </c>
      <c r="B37" s="15" t="s">
        <v>2</v>
      </c>
      <c r="C37" s="16" t="s">
        <v>423</v>
      </c>
      <c r="D37" s="12">
        <v>28100</v>
      </c>
      <c r="E37" s="12">
        <v>28100</v>
      </c>
      <c r="F37" s="12">
        <v>28100</v>
      </c>
      <c r="G37" s="12">
        <v>2773</v>
      </c>
      <c r="H37" s="8">
        <f t="shared" si="2"/>
        <v>25327</v>
      </c>
      <c r="I37" s="163"/>
    </row>
    <row r="38" spans="1:9" s="37" customFormat="1">
      <c r="A38" s="14" t="s">
        <v>151</v>
      </c>
      <c r="B38" s="15" t="s">
        <v>2</v>
      </c>
      <c r="C38" s="16" t="s">
        <v>424</v>
      </c>
      <c r="D38" s="12">
        <v>131311</v>
      </c>
      <c r="E38" s="12">
        <v>131311</v>
      </c>
      <c r="F38" s="12">
        <v>131311</v>
      </c>
      <c r="G38" s="12">
        <v>54352.84</v>
      </c>
      <c r="H38" s="8">
        <f t="shared" si="2"/>
        <v>76958.16</v>
      </c>
      <c r="I38" s="163"/>
    </row>
    <row r="39" spans="1:9" s="37" customFormat="1">
      <c r="A39" s="14" t="s">
        <v>156</v>
      </c>
      <c r="B39" s="15" t="s">
        <v>2</v>
      </c>
      <c r="C39" s="43" t="s">
        <v>425</v>
      </c>
      <c r="D39" s="12">
        <v>10000</v>
      </c>
      <c r="E39" s="12"/>
      <c r="F39" s="8">
        <v>0</v>
      </c>
      <c r="G39" s="12">
        <v>0</v>
      </c>
      <c r="H39" s="8">
        <f>F39-G39</f>
        <v>0</v>
      </c>
      <c r="I39" s="163"/>
    </row>
    <row r="40" spans="1:9" s="37" customFormat="1">
      <c r="A40" s="14" t="s">
        <v>157</v>
      </c>
      <c r="B40" s="15" t="s">
        <v>2</v>
      </c>
      <c r="C40" s="16" t="s">
        <v>426</v>
      </c>
      <c r="D40" s="12">
        <f>D42</f>
        <v>232300</v>
      </c>
      <c r="E40" s="12">
        <f t="shared" ref="E40" si="5">E42</f>
        <v>232300</v>
      </c>
      <c r="F40" s="12">
        <f>F41+F42</f>
        <v>234171.48</v>
      </c>
      <c r="G40" s="12">
        <f>G42</f>
        <v>95655</v>
      </c>
      <c r="H40" s="8">
        <f>F40-G40</f>
        <v>138516.48000000001</v>
      </c>
      <c r="I40" s="163"/>
    </row>
    <row r="41" spans="1:9" s="85" customFormat="1">
      <c r="A41" s="70" t="s">
        <v>174</v>
      </c>
      <c r="B41" s="71" t="s">
        <v>2</v>
      </c>
      <c r="C41" s="72" t="s">
        <v>509</v>
      </c>
      <c r="D41" s="28"/>
      <c r="E41" s="28">
        <v>232300</v>
      </c>
      <c r="F41" s="28">
        <v>1871.48</v>
      </c>
      <c r="G41" s="28">
        <v>0</v>
      </c>
      <c r="H41" s="44">
        <f t="shared" ref="H41" si="6">F41-G41</f>
        <v>1871.48</v>
      </c>
      <c r="I41" s="168"/>
    </row>
    <row r="42" spans="1:9" s="37" customFormat="1">
      <c r="A42" s="14" t="s">
        <v>158</v>
      </c>
      <c r="B42" s="15" t="s">
        <v>2</v>
      </c>
      <c r="C42" s="16" t="s">
        <v>427</v>
      </c>
      <c r="D42" s="12">
        <v>232300</v>
      </c>
      <c r="E42" s="12">
        <v>232300</v>
      </c>
      <c r="F42" s="12">
        <v>232300</v>
      </c>
      <c r="G42" s="12">
        <v>95655</v>
      </c>
      <c r="H42" s="8">
        <f t="shared" si="2"/>
        <v>136645</v>
      </c>
      <c r="I42" s="163"/>
    </row>
    <row r="43" spans="1:9" s="36" customFormat="1" hidden="1">
      <c r="A43" s="14" t="s">
        <v>133</v>
      </c>
      <c r="B43" s="15"/>
      <c r="C43" s="20" t="s">
        <v>301</v>
      </c>
      <c r="D43" s="8">
        <f t="shared" ref="D43:G43" si="7">D44</f>
        <v>80000</v>
      </c>
      <c r="E43" s="8"/>
      <c r="F43" s="17">
        <f t="shared" si="1"/>
        <v>80000</v>
      </c>
      <c r="G43" s="12">
        <f t="shared" si="7"/>
        <v>80000</v>
      </c>
      <c r="H43" s="17">
        <f t="shared" si="2"/>
        <v>0</v>
      </c>
      <c r="I43" s="158"/>
    </row>
    <row r="44" spans="1:9" s="36" customFormat="1" hidden="1">
      <c r="A44" s="14" t="s">
        <v>147</v>
      </c>
      <c r="B44" s="15"/>
      <c r="C44" s="20" t="s">
        <v>300</v>
      </c>
      <c r="D44" s="8">
        <v>80000</v>
      </c>
      <c r="E44" s="8"/>
      <c r="F44" s="17">
        <f t="shared" si="1"/>
        <v>80000</v>
      </c>
      <c r="G44" s="12">
        <v>80000</v>
      </c>
      <c r="H44" s="17">
        <f t="shared" si="2"/>
        <v>0</v>
      </c>
      <c r="I44" s="158"/>
    </row>
    <row r="45" spans="1:9" s="32" customFormat="1" hidden="1">
      <c r="A45" s="49"/>
      <c r="B45" s="50"/>
      <c r="C45" s="172"/>
      <c r="D45" s="173"/>
      <c r="E45" s="173"/>
      <c r="F45" s="17">
        <f t="shared" si="1"/>
        <v>0</v>
      </c>
      <c r="G45" s="33"/>
      <c r="H45" s="17">
        <f t="shared" si="2"/>
        <v>0</v>
      </c>
      <c r="I45" s="165"/>
    </row>
    <row r="46" spans="1:9" s="34" customFormat="1" ht="45.75" hidden="1">
      <c r="A46" s="174" t="s">
        <v>139</v>
      </c>
      <c r="B46" s="175"/>
      <c r="C46" s="172" t="s">
        <v>221</v>
      </c>
      <c r="D46" s="176">
        <f t="shared" ref="D46:G48" si="8">D47</f>
        <v>0</v>
      </c>
      <c r="E46" s="176"/>
      <c r="F46" s="17">
        <f t="shared" si="1"/>
        <v>0</v>
      </c>
      <c r="G46" s="177">
        <f t="shared" si="8"/>
        <v>0</v>
      </c>
      <c r="H46" s="17">
        <f t="shared" si="2"/>
        <v>0</v>
      </c>
      <c r="I46" s="166"/>
    </row>
    <row r="47" spans="1:9" s="32" customFormat="1" hidden="1">
      <c r="A47" s="49" t="s">
        <v>133</v>
      </c>
      <c r="B47" s="50"/>
      <c r="C47" s="48" t="s">
        <v>222</v>
      </c>
      <c r="D47" s="173">
        <f t="shared" si="8"/>
        <v>0</v>
      </c>
      <c r="E47" s="173"/>
      <c r="F47" s="17">
        <f t="shared" si="1"/>
        <v>0</v>
      </c>
      <c r="G47" s="33">
        <f t="shared" si="8"/>
        <v>0</v>
      </c>
      <c r="H47" s="17">
        <f t="shared" si="2"/>
        <v>0</v>
      </c>
      <c r="I47" s="165"/>
    </row>
    <row r="48" spans="1:9" s="32" customFormat="1" hidden="1">
      <c r="A48" s="49" t="s">
        <v>147</v>
      </c>
      <c r="B48" s="50"/>
      <c r="C48" s="48" t="s">
        <v>223</v>
      </c>
      <c r="D48" s="173">
        <f t="shared" si="8"/>
        <v>0</v>
      </c>
      <c r="E48" s="173"/>
      <c r="F48" s="17">
        <f t="shared" si="1"/>
        <v>0</v>
      </c>
      <c r="G48" s="33">
        <f t="shared" si="8"/>
        <v>0</v>
      </c>
      <c r="H48" s="17">
        <f t="shared" si="2"/>
        <v>0</v>
      </c>
      <c r="I48" s="165"/>
    </row>
    <row r="49" spans="1:9" s="32" customFormat="1" hidden="1">
      <c r="A49" s="49" t="s">
        <v>155</v>
      </c>
      <c r="B49" s="50"/>
      <c r="C49" s="48" t="s">
        <v>224</v>
      </c>
      <c r="D49" s="173">
        <v>0</v>
      </c>
      <c r="E49" s="173"/>
      <c r="F49" s="17">
        <f t="shared" si="1"/>
        <v>0</v>
      </c>
      <c r="G49" s="33">
        <v>0</v>
      </c>
      <c r="H49" s="17">
        <f t="shared" si="2"/>
        <v>0</v>
      </c>
      <c r="I49" s="165"/>
    </row>
    <row r="50" spans="1:9" s="22" customFormat="1">
      <c r="A50" s="18" t="s">
        <v>156</v>
      </c>
      <c r="B50" s="19" t="s">
        <v>2</v>
      </c>
      <c r="C50" s="153" t="s">
        <v>508</v>
      </c>
      <c r="D50" s="21">
        <v>0</v>
      </c>
      <c r="E50" s="21"/>
      <c r="F50" s="17">
        <v>10000</v>
      </c>
      <c r="G50" s="21">
        <v>10000</v>
      </c>
      <c r="H50" s="17">
        <f>F50-G50</f>
        <v>0</v>
      </c>
      <c r="I50" s="157"/>
    </row>
    <row r="51" spans="1:9">
      <c r="A51" s="77" t="s">
        <v>283</v>
      </c>
      <c r="B51" s="152" t="s">
        <v>2</v>
      </c>
      <c r="C51" s="153" t="s">
        <v>433</v>
      </c>
      <c r="D51" s="17">
        <v>50000</v>
      </c>
      <c r="E51" s="17">
        <v>50000</v>
      </c>
      <c r="F51" s="17">
        <v>50000</v>
      </c>
      <c r="G51" s="17">
        <v>0</v>
      </c>
      <c r="H51" s="17">
        <f t="shared" si="2"/>
        <v>50000</v>
      </c>
      <c r="I51" s="147"/>
    </row>
    <row r="52" spans="1:9" hidden="1">
      <c r="A52" s="14" t="s">
        <v>133</v>
      </c>
      <c r="B52" s="152"/>
      <c r="C52" s="16" t="s">
        <v>284</v>
      </c>
      <c r="D52" s="8">
        <f>D53</f>
        <v>50000</v>
      </c>
      <c r="E52" s="8"/>
      <c r="F52" s="17">
        <f t="shared" si="1"/>
        <v>50000</v>
      </c>
      <c r="G52" s="17"/>
      <c r="H52" s="17">
        <f t="shared" si="2"/>
        <v>50000</v>
      </c>
      <c r="I52" s="147"/>
    </row>
    <row r="53" spans="1:9" s="37" customFormat="1" hidden="1">
      <c r="A53" s="14" t="s">
        <v>156</v>
      </c>
      <c r="B53" s="15" t="s">
        <v>2</v>
      </c>
      <c r="C53" s="16" t="s">
        <v>285</v>
      </c>
      <c r="D53" s="12">
        <v>50000</v>
      </c>
      <c r="E53" s="12"/>
      <c r="F53" s="17">
        <f t="shared" si="1"/>
        <v>50000</v>
      </c>
      <c r="G53" s="12">
        <v>0</v>
      </c>
      <c r="H53" s="17">
        <f t="shared" si="2"/>
        <v>50000</v>
      </c>
      <c r="I53" s="163"/>
    </row>
    <row r="54" spans="1:9" ht="15" customHeight="1">
      <c r="A54" s="77" t="s">
        <v>330</v>
      </c>
      <c r="B54" s="152" t="s">
        <v>2</v>
      </c>
      <c r="C54" s="153" t="s">
        <v>432</v>
      </c>
      <c r="D54" s="17">
        <v>1000</v>
      </c>
      <c r="E54" s="17"/>
      <c r="F54" s="17">
        <f t="shared" si="1"/>
        <v>1000</v>
      </c>
      <c r="G54" s="17">
        <v>761</v>
      </c>
      <c r="H54" s="17">
        <f t="shared" si="2"/>
        <v>239</v>
      </c>
      <c r="I54" s="147"/>
    </row>
    <row r="55" spans="1:9" s="37" customFormat="1" hidden="1">
      <c r="A55" s="14" t="s">
        <v>133</v>
      </c>
      <c r="B55" s="15" t="s">
        <v>2</v>
      </c>
      <c r="C55" s="16" t="s">
        <v>160</v>
      </c>
      <c r="D55" s="12">
        <v>1000</v>
      </c>
      <c r="E55" s="12"/>
      <c r="F55" s="17">
        <f t="shared" si="1"/>
        <v>1000</v>
      </c>
      <c r="G55" s="12">
        <f>G56</f>
        <v>752.5</v>
      </c>
      <c r="H55" s="17">
        <f t="shared" si="2"/>
        <v>247.5</v>
      </c>
      <c r="I55" s="163"/>
    </row>
    <row r="56" spans="1:9" s="37" customFormat="1" hidden="1">
      <c r="A56" s="14" t="s">
        <v>156</v>
      </c>
      <c r="B56" s="15" t="s">
        <v>2</v>
      </c>
      <c r="C56" s="16" t="s">
        <v>161</v>
      </c>
      <c r="D56" s="12">
        <v>1000</v>
      </c>
      <c r="E56" s="12"/>
      <c r="F56" s="17">
        <f t="shared" si="1"/>
        <v>1000</v>
      </c>
      <c r="G56" s="12">
        <v>752.5</v>
      </c>
      <c r="H56" s="17">
        <f t="shared" si="2"/>
        <v>247.5</v>
      </c>
      <c r="I56" s="163"/>
    </row>
    <row r="57" spans="1:9" s="32" customFormat="1" hidden="1">
      <c r="A57" s="174" t="s">
        <v>159</v>
      </c>
      <c r="B57" s="178" t="s">
        <v>2</v>
      </c>
      <c r="C57" s="179" t="s">
        <v>248</v>
      </c>
      <c r="D57" s="176">
        <f>D58</f>
        <v>0</v>
      </c>
      <c r="E57" s="176"/>
      <c r="F57" s="17">
        <f t="shared" si="1"/>
        <v>0</v>
      </c>
      <c r="G57" s="176">
        <f>G58</f>
        <v>0</v>
      </c>
      <c r="H57" s="17">
        <f t="shared" si="2"/>
        <v>0</v>
      </c>
      <c r="I57" s="165"/>
    </row>
    <row r="58" spans="1:9" s="32" customFormat="1" hidden="1">
      <c r="A58" s="49" t="s">
        <v>133</v>
      </c>
      <c r="B58" s="50" t="s">
        <v>2</v>
      </c>
      <c r="C58" s="48" t="s">
        <v>249</v>
      </c>
      <c r="D58" s="33">
        <f>D59</f>
        <v>0</v>
      </c>
      <c r="E58" s="33"/>
      <c r="F58" s="17">
        <f t="shared" si="1"/>
        <v>0</v>
      </c>
      <c r="G58" s="33">
        <f>G59</f>
        <v>0</v>
      </c>
      <c r="H58" s="17">
        <f t="shared" si="2"/>
        <v>0</v>
      </c>
      <c r="I58" s="165"/>
    </row>
    <row r="59" spans="1:9" s="32" customFormat="1" hidden="1">
      <c r="A59" s="49" t="s">
        <v>151</v>
      </c>
      <c r="B59" s="50" t="s">
        <v>2</v>
      </c>
      <c r="C59" s="48" t="s">
        <v>250</v>
      </c>
      <c r="D59" s="33">
        <v>0</v>
      </c>
      <c r="E59" s="33"/>
      <c r="F59" s="17">
        <f t="shared" si="1"/>
        <v>0</v>
      </c>
      <c r="G59" s="33">
        <v>0</v>
      </c>
      <c r="H59" s="17">
        <f t="shared" si="2"/>
        <v>0</v>
      </c>
      <c r="I59" s="165"/>
    </row>
    <row r="60" spans="1:9" ht="23.25">
      <c r="A60" s="77" t="s">
        <v>329</v>
      </c>
      <c r="B60" s="152" t="s">
        <v>2</v>
      </c>
      <c r="C60" s="153" t="s">
        <v>431</v>
      </c>
      <c r="D60" s="17">
        <v>4993</v>
      </c>
      <c r="E60" s="17"/>
      <c r="F60" s="17">
        <f t="shared" si="1"/>
        <v>4993</v>
      </c>
      <c r="G60" s="17">
        <v>2496</v>
      </c>
      <c r="H60" s="17">
        <f t="shared" si="2"/>
        <v>2497</v>
      </c>
      <c r="I60" s="147"/>
    </row>
    <row r="61" spans="1:9" s="37" customFormat="1" hidden="1">
      <c r="A61" s="14" t="s">
        <v>157</v>
      </c>
      <c r="B61" s="15" t="s">
        <v>2</v>
      </c>
      <c r="C61" s="16" t="s">
        <v>162</v>
      </c>
      <c r="D61" s="12">
        <f>D62</f>
        <v>4939</v>
      </c>
      <c r="E61" s="12"/>
      <c r="F61" s="17">
        <f t="shared" si="1"/>
        <v>4939</v>
      </c>
      <c r="G61" s="12">
        <f>G62</f>
        <v>3690</v>
      </c>
      <c r="H61" s="17">
        <f t="shared" si="2"/>
        <v>1249</v>
      </c>
      <c r="I61" s="163"/>
    </row>
    <row r="62" spans="1:9" s="37" customFormat="1" hidden="1">
      <c r="A62" s="14" t="s">
        <v>158</v>
      </c>
      <c r="B62" s="15" t="s">
        <v>2</v>
      </c>
      <c r="C62" s="16" t="s">
        <v>163</v>
      </c>
      <c r="D62" s="12">
        <f>4939</f>
        <v>4939</v>
      </c>
      <c r="E62" s="12"/>
      <c r="F62" s="17">
        <f t="shared" si="1"/>
        <v>4939</v>
      </c>
      <c r="G62" s="12">
        <f>2455+1235</f>
        <v>3690</v>
      </c>
      <c r="H62" s="17">
        <f t="shared" si="2"/>
        <v>1249</v>
      </c>
      <c r="I62" s="163"/>
    </row>
    <row r="63" spans="1:9" ht="23.25">
      <c r="A63" s="77" t="s">
        <v>331</v>
      </c>
      <c r="B63" s="152" t="s">
        <v>2</v>
      </c>
      <c r="C63" s="153" t="s">
        <v>428</v>
      </c>
      <c r="D63" s="17">
        <f>D64</f>
        <v>80700</v>
      </c>
      <c r="E63" s="17">
        <f>E66+E67</f>
        <v>80700</v>
      </c>
      <c r="F63" s="17">
        <f>F66+F67</f>
        <v>80700</v>
      </c>
      <c r="G63" s="17">
        <f>G64</f>
        <v>38657.81</v>
      </c>
      <c r="H63" s="17">
        <f t="shared" si="2"/>
        <v>42042.19</v>
      </c>
      <c r="I63" s="156">
        <f>61240-G63-G68</f>
        <v>22582.190000000002</v>
      </c>
    </row>
    <row r="64" spans="1:9" s="37" customFormat="1" hidden="1">
      <c r="A64" s="14" t="s">
        <v>133</v>
      </c>
      <c r="B64" s="15" t="s">
        <v>2</v>
      </c>
      <c r="C64" s="16" t="s">
        <v>165</v>
      </c>
      <c r="D64" s="12">
        <f>D65</f>
        <v>80700</v>
      </c>
      <c r="E64" s="12"/>
      <c r="F64" s="17">
        <f t="shared" si="1"/>
        <v>80700</v>
      </c>
      <c r="G64" s="12">
        <f>G65</f>
        <v>38657.81</v>
      </c>
      <c r="H64" s="17">
        <f t="shared" si="2"/>
        <v>42042.19</v>
      </c>
      <c r="I64" s="163"/>
    </row>
    <row r="65" spans="1:9" s="37" customFormat="1" ht="23.25" hidden="1">
      <c r="A65" s="14" t="s">
        <v>135</v>
      </c>
      <c r="B65" s="15" t="s">
        <v>2</v>
      </c>
      <c r="C65" s="16" t="s">
        <v>166</v>
      </c>
      <c r="D65" s="12">
        <f>D66+D67</f>
        <v>80700</v>
      </c>
      <c r="E65" s="12"/>
      <c r="F65" s="17">
        <f t="shared" si="1"/>
        <v>80700</v>
      </c>
      <c r="G65" s="12">
        <f>G66+G67</f>
        <v>38657.81</v>
      </c>
      <c r="H65" s="17">
        <f t="shared" si="2"/>
        <v>42042.19</v>
      </c>
      <c r="I65" s="163"/>
    </row>
    <row r="66" spans="1:9" s="37" customFormat="1">
      <c r="A66" s="14" t="s">
        <v>137</v>
      </c>
      <c r="B66" s="15" t="s">
        <v>2</v>
      </c>
      <c r="C66" s="16" t="s">
        <v>429</v>
      </c>
      <c r="D66" s="12">
        <v>61982</v>
      </c>
      <c r="E66" s="12">
        <v>61982</v>
      </c>
      <c r="F66" s="12">
        <v>61982</v>
      </c>
      <c r="G66" s="12">
        <v>29691.11</v>
      </c>
      <c r="H66" s="8">
        <f t="shared" si="2"/>
        <v>32290.89</v>
      </c>
      <c r="I66" s="163"/>
    </row>
    <row r="67" spans="1:9" s="37" customFormat="1">
      <c r="A67" s="14" t="s">
        <v>138</v>
      </c>
      <c r="B67" s="15" t="s">
        <v>2</v>
      </c>
      <c r="C67" s="16" t="s">
        <v>430</v>
      </c>
      <c r="D67" s="12">
        <v>18718</v>
      </c>
      <c r="E67" s="12">
        <v>18718</v>
      </c>
      <c r="F67" s="12">
        <v>18718</v>
      </c>
      <c r="G67" s="12">
        <v>8966.7000000000007</v>
      </c>
      <c r="H67" s="8">
        <f t="shared" si="2"/>
        <v>9751.2999999999993</v>
      </c>
      <c r="I67" s="163"/>
    </row>
    <row r="68" spans="1:9">
      <c r="A68" s="77" t="s">
        <v>164</v>
      </c>
      <c r="B68" s="152" t="s">
        <v>2</v>
      </c>
      <c r="C68" s="153" t="s">
        <v>434</v>
      </c>
      <c r="D68" s="17">
        <f>D69+D73</f>
        <v>16200</v>
      </c>
      <c r="E68" s="17">
        <f>E74</f>
        <v>546.63</v>
      </c>
      <c r="F68" s="17">
        <f>F71+F74+F75</f>
        <v>10350</v>
      </c>
      <c r="G68" s="17">
        <f>G69+G73</f>
        <v>0</v>
      </c>
      <c r="H68" s="17">
        <f t="shared" si="2"/>
        <v>10350</v>
      </c>
      <c r="I68" s="147"/>
    </row>
    <row r="69" spans="1:9" s="37" customFormat="1" hidden="1">
      <c r="A69" s="14" t="s">
        <v>133</v>
      </c>
      <c r="B69" s="15" t="s">
        <v>2</v>
      </c>
      <c r="C69" s="16" t="s">
        <v>167</v>
      </c>
      <c r="D69" s="12">
        <f>D70</f>
        <v>2000</v>
      </c>
      <c r="E69" s="12"/>
      <c r="F69" s="17">
        <f t="shared" si="1"/>
        <v>2000</v>
      </c>
      <c r="G69" s="12">
        <f>G70</f>
        <v>0</v>
      </c>
      <c r="H69" s="17">
        <f t="shared" si="2"/>
        <v>2000</v>
      </c>
      <c r="I69" s="163"/>
    </row>
    <row r="70" spans="1:9" s="37" customFormat="1" hidden="1">
      <c r="A70" s="14" t="s">
        <v>147</v>
      </c>
      <c r="B70" s="15" t="s">
        <v>2</v>
      </c>
      <c r="C70" s="16" t="s">
        <v>168</v>
      </c>
      <c r="D70" s="12">
        <f>D71+D72</f>
        <v>2000</v>
      </c>
      <c r="E70" s="12"/>
      <c r="F70" s="17">
        <f t="shared" si="1"/>
        <v>2000</v>
      </c>
      <c r="G70" s="12">
        <f>G71+G72</f>
        <v>0</v>
      </c>
      <c r="H70" s="17">
        <f t="shared" si="2"/>
        <v>2000</v>
      </c>
      <c r="I70" s="163"/>
    </row>
    <row r="71" spans="1:9" s="37" customFormat="1">
      <c r="A71" s="14" t="s">
        <v>155</v>
      </c>
      <c r="B71" s="15" t="s">
        <v>2</v>
      </c>
      <c r="C71" s="16" t="s">
        <v>435</v>
      </c>
      <c r="D71" s="12">
        <v>2000</v>
      </c>
      <c r="E71" s="12"/>
      <c r="F71" s="17">
        <v>0</v>
      </c>
      <c r="G71" s="12">
        <v>0</v>
      </c>
      <c r="H71" s="17">
        <f t="shared" si="2"/>
        <v>0</v>
      </c>
      <c r="I71" s="163"/>
    </row>
    <row r="72" spans="1:9" s="37" customFormat="1" hidden="1">
      <c r="A72" s="14" t="s">
        <v>151</v>
      </c>
      <c r="B72" s="15"/>
      <c r="C72" s="16" t="s">
        <v>265</v>
      </c>
      <c r="D72" s="12">
        <v>0</v>
      </c>
      <c r="E72" s="12"/>
      <c r="F72" s="17">
        <f t="shared" si="1"/>
        <v>0</v>
      </c>
      <c r="G72" s="12">
        <v>0</v>
      </c>
      <c r="H72" s="17">
        <f t="shared" si="2"/>
        <v>0</v>
      </c>
      <c r="I72" s="163"/>
    </row>
    <row r="73" spans="1:9" s="37" customFormat="1" hidden="1">
      <c r="A73" s="14" t="s">
        <v>157</v>
      </c>
      <c r="B73" s="15" t="s">
        <v>2</v>
      </c>
      <c r="C73" s="16" t="s">
        <v>169</v>
      </c>
      <c r="D73" s="12">
        <f>D74+D75</f>
        <v>14200</v>
      </c>
      <c r="E73" s="12"/>
      <c r="F73" s="17">
        <f t="shared" si="1"/>
        <v>14200</v>
      </c>
      <c r="G73" s="12">
        <f>G74+G75</f>
        <v>0</v>
      </c>
      <c r="H73" s="17">
        <f t="shared" si="2"/>
        <v>14200</v>
      </c>
      <c r="I73" s="163"/>
    </row>
    <row r="74" spans="1:9" s="37" customFormat="1">
      <c r="A74" s="70" t="s">
        <v>151</v>
      </c>
      <c r="B74" s="15" t="s">
        <v>2</v>
      </c>
      <c r="C74" s="16" t="s">
        <v>436</v>
      </c>
      <c r="D74" s="12">
        <v>3500</v>
      </c>
      <c r="E74" s="12">
        <v>546.63</v>
      </c>
      <c r="F74" s="17">
        <v>0</v>
      </c>
      <c r="G74" s="12">
        <v>0</v>
      </c>
      <c r="H74" s="17">
        <f t="shared" si="2"/>
        <v>0</v>
      </c>
      <c r="I74" s="163"/>
    </row>
    <row r="75" spans="1:9" s="37" customFormat="1">
      <c r="A75" s="14" t="s">
        <v>158</v>
      </c>
      <c r="B75" s="15"/>
      <c r="C75" s="16" t="s">
        <v>437</v>
      </c>
      <c r="D75" s="12">
        <v>10700</v>
      </c>
      <c r="E75" s="12"/>
      <c r="F75" s="8">
        <v>10350</v>
      </c>
      <c r="G75" s="12"/>
      <c r="H75" s="8">
        <f>F75-G75</f>
        <v>10350</v>
      </c>
      <c r="I75" s="163"/>
    </row>
    <row r="76" spans="1:9" s="37" customFormat="1" ht="27" customHeight="1">
      <c r="A76" s="141" t="s">
        <v>387</v>
      </c>
      <c r="B76" s="142"/>
      <c r="C76" s="143"/>
      <c r="D76" s="144">
        <f>D79+D82+D104+D109+D113+D126+D130+D134+D138+D142+D152+D160+D167+D174+D177+D191+D196+D200+D210+D212</f>
        <v>1661199</v>
      </c>
      <c r="E76" s="144">
        <f>E79+E82+E104+E109+E113+E126+E130+E134+E138+E142+E152+E160+E167+E174+E177+E191+E196+E200+E210+E212</f>
        <v>19550.989999999998</v>
      </c>
      <c r="F76" s="144">
        <f>F79+F82+F104+F109+F113+F122+F126+F130+F134+F138+F142+F152+F160+F167+F174+F177+F191+F196+F200+F210+F212+F118+F96+F147+F181</f>
        <v>2903969.3600000003</v>
      </c>
      <c r="G76" s="144">
        <f>G79+G82+G104+G109+G113+G126+G130+G134+G138+G142+G152+G160+G167+G174+G177+G191+G196+G200+G210+G212</f>
        <v>496688.62</v>
      </c>
      <c r="H76" s="144">
        <f>H79+H82+H104+H109+H113+H118+H122+H126+H130+H134+H138+H142+H152+H160+H167+H174+H177+H191+H196+H200+H210+H212</f>
        <v>1338700.7400000002</v>
      </c>
      <c r="I76" s="163"/>
    </row>
    <row r="77" spans="1:9" s="37" customFormat="1" ht="34.5" customHeight="1">
      <c r="A77" s="320" t="s">
        <v>332</v>
      </c>
      <c r="B77" s="320"/>
      <c r="C77" s="320"/>
      <c r="D77" s="320"/>
      <c r="E77" s="320"/>
      <c r="F77" s="320"/>
      <c r="G77" s="320"/>
      <c r="H77" s="320"/>
      <c r="I77" s="163"/>
    </row>
    <row r="78" spans="1:9" s="84" customFormat="1" ht="27.75" customHeight="1">
      <c r="A78" s="319" t="s">
        <v>333</v>
      </c>
      <c r="B78" s="319"/>
      <c r="C78" s="319"/>
      <c r="D78" s="319"/>
      <c r="E78" s="319"/>
      <c r="F78" s="319"/>
      <c r="G78" s="319"/>
      <c r="H78" s="319"/>
      <c r="I78" s="167"/>
    </row>
    <row r="79" spans="1:9" ht="23.25">
      <c r="A79" s="77" t="s">
        <v>334</v>
      </c>
      <c r="B79" s="152" t="s">
        <v>2</v>
      </c>
      <c r="C79" s="153" t="s">
        <v>438</v>
      </c>
      <c r="D79" s="17">
        <f>D80</f>
        <v>10000</v>
      </c>
      <c r="E79" s="17"/>
      <c r="F79" s="17">
        <f>D79+E79</f>
        <v>10000</v>
      </c>
      <c r="G79" s="17">
        <f>G80</f>
        <v>4869.6000000000004</v>
      </c>
      <c r="H79" s="17">
        <f>F79-G79</f>
        <v>5130.3999999999996</v>
      </c>
      <c r="I79" s="147"/>
    </row>
    <row r="80" spans="1:9" s="37" customFormat="1" ht="15.75" hidden="1" customHeight="1">
      <c r="A80" s="14" t="s">
        <v>157</v>
      </c>
      <c r="B80" s="15" t="s">
        <v>2</v>
      </c>
      <c r="C80" s="16" t="s">
        <v>266</v>
      </c>
      <c r="D80" s="12">
        <f>D81</f>
        <v>10000</v>
      </c>
      <c r="E80" s="12"/>
      <c r="F80" s="17">
        <f t="shared" ref="F80:F107" si="9">D80+E80</f>
        <v>10000</v>
      </c>
      <c r="G80" s="12">
        <f>G81</f>
        <v>4869.6000000000004</v>
      </c>
      <c r="H80" s="17">
        <f t="shared" ref="H80:H107" si="10">F80-G80</f>
        <v>5130.3999999999996</v>
      </c>
      <c r="I80" s="163"/>
    </row>
    <row r="81" spans="1:9" s="37" customFormat="1">
      <c r="A81" s="70" t="s">
        <v>155</v>
      </c>
      <c r="B81" s="15" t="s">
        <v>2</v>
      </c>
      <c r="C81" s="16" t="s">
        <v>439</v>
      </c>
      <c r="D81" s="12">
        <v>10000</v>
      </c>
      <c r="E81" s="12"/>
      <c r="F81" s="8">
        <f t="shared" si="9"/>
        <v>10000</v>
      </c>
      <c r="G81" s="12">
        <v>4869.6000000000004</v>
      </c>
      <c r="H81" s="8">
        <f t="shared" si="10"/>
        <v>5130.3999999999996</v>
      </c>
      <c r="I81" s="163"/>
    </row>
    <row r="82" spans="1:9" ht="24" customHeight="1">
      <c r="A82" s="77" t="s">
        <v>335</v>
      </c>
      <c r="B82" s="152" t="s">
        <v>2</v>
      </c>
      <c r="C82" s="153" t="s">
        <v>440</v>
      </c>
      <c r="D82" s="17">
        <f>D83+D87</f>
        <v>35000</v>
      </c>
      <c r="E82" s="17">
        <f t="shared" ref="E82" si="11">E83+E87</f>
        <v>0</v>
      </c>
      <c r="F82" s="17">
        <f>F85+F86+F88+F89</f>
        <v>76270</v>
      </c>
      <c r="G82" s="17">
        <f>G83+G87</f>
        <v>12745</v>
      </c>
      <c r="H82" s="17">
        <f t="shared" si="10"/>
        <v>63525</v>
      </c>
      <c r="I82" s="147"/>
    </row>
    <row r="83" spans="1:9" hidden="1">
      <c r="A83" s="14" t="s">
        <v>133</v>
      </c>
      <c r="B83" s="15" t="s">
        <v>2</v>
      </c>
      <c r="C83" s="16" t="s">
        <v>171</v>
      </c>
      <c r="D83" s="12">
        <f>D84</f>
        <v>14300</v>
      </c>
      <c r="E83" s="12"/>
      <c r="F83" s="17">
        <f t="shared" si="9"/>
        <v>14300</v>
      </c>
      <c r="G83" s="12">
        <f>G84</f>
        <v>0</v>
      </c>
      <c r="H83" s="17">
        <f t="shared" si="10"/>
        <v>14300</v>
      </c>
      <c r="I83" s="147"/>
    </row>
    <row r="84" spans="1:9" hidden="1">
      <c r="A84" s="14" t="s">
        <v>147</v>
      </c>
      <c r="B84" s="15" t="s">
        <v>2</v>
      </c>
      <c r="C84" s="16" t="s">
        <v>172</v>
      </c>
      <c r="D84" s="12">
        <f>D85+D86</f>
        <v>14300</v>
      </c>
      <c r="E84" s="12"/>
      <c r="F84" s="17">
        <f t="shared" si="9"/>
        <v>14300</v>
      </c>
      <c r="G84" s="12">
        <f>G85+G86</f>
        <v>0</v>
      </c>
      <c r="H84" s="17">
        <f t="shared" si="10"/>
        <v>14300</v>
      </c>
      <c r="I84" s="147"/>
    </row>
    <row r="85" spans="1:9">
      <c r="A85" s="14" t="s">
        <v>155</v>
      </c>
      <c r="B85" s="15" t="s">
        <v>2</v>
      </c>
      <c r="C85" s="16" t="s">
        <v>441</v>
      </c>
      <c r="D85" s="12">
        <v>8800</v>
      </c>
      <c r="E85" s="12"/>
      <c r="F85" s="8">
        <v>42670</v>
      </c>
      <c r="G85" s="12">
        <v>0</v>
      </c>
      <c r="H85" s="8">
        <f t="shared" si="10"/>
        <v>42670</v>
      </c>
      <c r="I85" s="147"/>
    </row>
    <row r="86" spans="1:9">
      <c r="A86" s="70" t="s">
        <v>151</v>
      </c>
      <c r="B86" s="15"/>
      <c r="C86" s="16" t="s">
        <v>442</v>
      </c>
      <c r="D86" s="12">
        <v>5500</v>
      </c>
      <c r="E86" s="12"/>
      <c r="F86" s="8">
        <f t="shared" si="9"/>
        <v>5500</v>
      </c>
      <c r="G86" s="12">
        <v>0</v>
      </c>
      <c r="H86" s="8">
        <f t="shared" si="10"/>
        <v>5500</v>
      </c>
      <c r="I86" s="147"/>
    </row>
    <row r="87" spans="1:9" s="37" customFormat="1" hidden="1">
      <c r="A87" s="14" t="s">
        <v>157</v>
      </c>
      <c r="B87" s="15" t="s">
        <v>2</v>
      </c>
      <c r="C87" s="16" t="s">
        <v>173</v>
      </c>
      <c r="D87" s="12">
        <f>+D89</f>
        <v>20700</v>
      </c>
      <c r="E87" s="12"/>
      <c r="F87" s="8">
        <f t="shared" si="9"/>
        <v>20700</v>
      </c>
      <c r="G87" s="12">
        <f>G89</f>
        <v>12745</v>
      </c>
      <c r="H87" s="8">
        <f t="shared" si="10"/>
        <v>7955</v>
      </c>
      <c r="I87" s="163"/>
    </row>
    <row r="88" spans="1:9" s="36" customFormat="1">
      <c r="A88" s="70" t="s">
        <v>158</v>
      </c>
      <c r="B88" s="15" t="s">
        <v>2</v>
      </c>
      <c r="C88" s="16" t="s">
        <v>485</v>
      </c>
      <c r="D88" s="12">
        <v>0</v>
      </c>
      <c r="E88" s="12"/>
      <c r="F88" s="8">
        <v>4000</v>
      </c>
      <c r="G88" s="12"/>
      <c r="H88" s="8">
        <f t="shared" si="10"/>
        <v>4000</v>
      </c>
      <c r="I88" s="158"/>
    </row>
    <row r="89" spans="1:9" s="36" customFormat="1">
      <c r="A89" s="14" t="s">
        <v>158</v>
      </c>
      <c r="B89" s="15" t="s">
        <v>2</v>
      </c>
      <c r="C89" s="16" t="s">
        <v>443</v>
      </c>
      <c r="D89" s="12">
        <v>20700</v>
      </c>
      <c r="E89" s="12"/>
      <c r="F89" s="8">
        <v>24100</v>
      </c>
      <c r="G89" s="12">
        <v>12745</v>
      </c>
      <c r="H89" s="8">
        <f t="shared" si="10"/>
        <v>11355</v>
      </c>
      <c r="I89" s="158"/>
    </row>
    <row r="90" spans="1:9" s="34" customFormat="1" ht="34.5" hidden="1">
      <c r="A90" s="174" t="s">
        <v>170</v>
      </c>
      <c r="B90" s="175"/>
      <c r="C90" s="172" t="s">
        <v>225</v>
      </c>
      <c r="D90" s="180">
        <f>D91+D94</f>
        <v>0</v>
      </c>
      <c r="E90" s="180"/>
      <c r="F90" s="17">
        <f t="shared" si="9"/>
        <v>0</v>
      </c>
      <c r="G90" s="180">
        <f>G91+G94</f>
        <v>0</v>
      </c>
      <c r="H90" s="17">
        <f t="shared" si="10"/>
        <v>0</v>
      </c>
      <c r="I90" s="166"/>
    </row>
    <row r="91" spans="1:9" s="32" customFormat="1" hidden="1">
      <c r="A91" s="49" t="s">
        <v>133</v>
      </c>
      <c r="B91" s="50"/>
      <c r="C91" s="48" t="s">
        <v>226</v>
      </c>
      <c r="D91" s="181">
        <f>D92</f>
        <v>0</v>
      </c>
      <c r="E91" s="181"/>
      <c r="F91" s="17">
        <f t="shared" si="9"/>
        <v>0</v>
      </c>
      <c r="G91" s="181">
        <f>G92</f>
        <v>0</v>
      </c>
      <c r="H91" s="17">
        <f t="shared" si="10"/>
        <v>0</v>
      </c>
      <c r="I91" s="165"/>
    </row>
    <row r="92" spans="1:9" s="32" customFormat="1" hidden="1">
      <c r="A92" s="49" t="s">
        <v>147</v>
      </c>
      <c r="B92" s="50"/>
      <c r="C92" s="48" t="s">
        <v>227</v>
      </c>
      <c r="D92" s="181">
        <f>D93</f>
        <v>0</v>
      </c>
      <c r="E92" s="181"/>
      <c r="F92" s="17">
        <f t="shared" si="9"/>
        <v>0</v>
      </c>
      <c r="G92" s="181">
        <f>G93</f>
        <v>0</v>
      </c>
      <c r="H92" s="17">
        <f t="shared" si="10"/>
        <v>0</v>
      </c>
      <c r="I92" s="165"/>
    </row>
    <row r="93" spans="1:9" s="32" customFormat="1" hidden="1">
      <c r="A93" s="49" t="s">
        <v>155</v>
      </c>
      <c r="B93" s="50"/>
      <c r="C93" s="48" t="s">
        <v>228</v>
      </c>
      <c r="D93" s="181">
        <v>0</v>
      </c>
      <c r="E93" s="181"/>
      <c r="F93" s="17">
        <f t="shared" si="9"/>
        <v>0</v>
      </c>
      <c r="G93" s="181">
        <v>0</v>
      </c>
      <c r="H93" s="17">
        <f t="shared" si="10"/>
        <v>0</v>
      </c>
      <c r="I93" s="165"/>
    </row>
    <row r="94" spans="1:9" s="32" customFormat="1" hidden="1">
      <c r="A94" s="49" t="s">
        <v>157</v>
      </c>
      <c r="B94" s="50" t="s">
        <v>2</v>
      </c>
      <c r="C94" s="48" t="s">
        <v>229</v>
      </c>
      <c r="D94" s="181">
        <f>D95</f>
        <v>0</v>
      </c>
      <c r="E94" s="181"/>
      <c r="F94" s="17">
        <f t="shared" si="9"/>
        <v>0</v>
      </c>
      <c r="G94" s="181">
        <f>G95</f>
        <v>0</v>
      </c>
      <c r="H94" s="17">
        <f t="shared" si="10"/>
        <v>0</v>
      </c>
      <c r="I94" s="165"/>
    </row>
    <row r="95" spans="1:9" s="32" customFormat="1" hidden="1">
      <c r="A95" s="49" t="s">
        <v>174</v>
      </c>
      <c r="B95" s="50" t="s">
        <v>2</v>
      </c>
      <c r="C95" s="48" t="s">
        <v>230</v>
      </c>
      <c r="D95" s="181">
        <v>0</v>
      </c>
      <c r="E95" s="181"/>
      <c r="F95" s="17">
        <f t="shared" si="9"/>
        <v>0</v>
      </c>
      <c r="G95" s="33">
        <v>0</v>
      </c>
      <c r="H95" s="17">
        <f t="shared" si="10"/>
        <v>0</v>
      </c>
      <c r="I95" s="165"/>
    </row>
    <row r="96" spans="1:9" s="25" customFormat="1" ht="38.25" customHeight="1">
      <c r="A96" s="183" t="s">
        <v>510</v>
      </c>
      <c r="B96" s="184" t="s">
        <v>2</v>
      </c>
      <c r="C96" s="185" t="s">
        <v>511</v>
      </c>
      <c r="D96" s="29">
        <v>0</v>
      </c>
      <c r="E96" s="29">
        <f t="shared" ref="E96" si="12">E97+E101</f>
        <v>0</v>
      </c>
      <c r="F96" s="29">
        <f>F99+F102</f>
        <v>34950</v>
      </c>
      <c r="G96" s="29">
        <f>G97+G101</f>
        <v>0</v>
      </c>
      <c r="H96" s="29">
        <f t="shared" ref="H96:H103" si="13">F96-G96</f>
        <v>34950</v>
      </c>
      <c r="I96" s="161"/>
    </row>
    <row r="97" spans="1:9" s="25" customFormat="1" hidden="1">
      <c r="A97" s="70" t="s">
        <v>133</v>
      </c>
      <c r="B97" s="71" t="s">
        <v>2</v>
      </c>
      <c r="C97" s="72" t="s">
        <v>171</v>
      </c>
      <c r="D97" s="28">
        <f>D98</f>
        <v>0</v>
      </c>
      <c r="E97" s="28"/>
      <c r="F97" s="29">
        <f t="shared" ref="F97:F98" si="14">D97+E97</f>
        <v>0</v>
      </c>
      <c r="G97" s="28">
        <f>G98</f>
        <v>0</v>
      </c>
      <c r="H97" s="29">
        <f t="shared" si="13"/>
        <v>0</v>
      </c>
      <c r="I97" s="161"/>
    </row>
    <row r="98" spans="1:9" s="25" customFormat="1" hidden="1">
      <c r="A98" s="70" t="s">
        <v>147</v>
      </c>
      <c r="B98" s="71" t="s">
        <v>2</v>
      </c>
      <c r="C98" s="72" t="s">
        <v>172</v>
      </c>
      <c r="D98" s="28">
        <f>D99+D100</f>
        <v>0</v>
      </c>
      <c r="E98" s="28"/>
      <c r="F98" s="29">
        <f t="shared" si="14"/>
        <v>0</v>
      </c>
      <c r="G98" s="28">
        <f>G99+G100</f>
        <v>0</v>
      </c>
      <c r="H98" s="29">
        <f t="shared" si="13"/>
        <v>0</v>
      </c>
      <c r="I98" s="161"/>
    </row>
    <row r="99" spans="1:9" s="25" customFormat="1">
      <c r="A99" s="70" t="s">
        <v>133</v>
      </c>
      <c r="B99" s="71" t="s">
        <v>2</v>
      </c>
      <c r="C99" s="72" t="s">
        <v>512</v>
      </c>
      <c r="D99" s="28">
        <v>0</v>
      </c>
      <c r="E99" s="28"/>
      <c r="F99" s="44">
        <f>F100</f>
        <v>20000</v>
      </c>
      <c r="G99" s="28">
        <v>0</v>
      </c>
      <c r="H99" s="44">
        <f t="shared" si="13"/>
        <v>20000</v>
      </c>
      <c r="I99" s="161"/>
    </row>
    <row r="100" spans="1:9" s="25" customFormat="1">
      <c r="A100" s="70" t="s">
        <v>155</v>
      </c>
      <c r="B100" s="71"/>
      <c r="C100" s="72" t="s">
        <v>513</v>
      </c>
      <c r="D100" s="28">
        <v>0</v>
      </c>
      <c r="E100" s="28"/>
      <c r="F100" s="44">
        <v>20000</v>
      </c>
      <c r="G100" s="28">
        <v>0</v>
      </c>
      <c r="H100" s="44">
        <f t="shared" si="13"/>
        <v>20000</v>
      </c>
      <c r="I100" s="161"/>
    </row>
    <row r="101" spans="1:9" s="85" customFormat="1" hidden="1">
      <c r="A101" s="70" t="s">
        <v>157</v>
      </c>
      <c r="B101" s="71" t="s">
        <v>2</v>
      </c>
      <c r="C101" s="72" t="s">
        <v>173</v>
      </c>
      <c r="D101" s="28">
        <f>+D103</f>
        <v>0</v>
      </c>
      <c r="E101" s="28"/>
      <c r="F101" s="44">
        <f t="shared" ref="F101" si="15">D101+E101</f>
        <v>0</v>
      </c>
      <c r="G101" s="28">
        <f>G103</f>
        <v>0</v>
      </c>
      <c r="H101" s="44">
        <f t="shared" si="13"/>
        <v>0</v>
      </c>
      <c r="I101" s="168"/>
    </row>
    <row r="102" spans="1:9" s="244" customFormat="1">
      <c r="A102" s="70" t="s">
        <v>157</v>
      </c>
      <c r="B102" s="71" t="s">
        <v>2</v>
      </c>
      <c r="C102" s="72" t="s">
        <v>514</v>
      </c>
      <c r="D102" s="28">
        <v>0</v>
      </c>
      <c r="E102" s="28"/>
      <c r="F102" s="44">
        <f>F103</f>
        <v>14950</v>
      </c>
      <c r="G102" s="28"/>
      <c r="H102" s="44">
        <f t="shared" si="13"/>
        <v>14950</v>
      </c>
      <c r="I102" s="243"/>
    </row>
    <row r="103" spans="1:9" s="244" customFormat="1">
      <c r="A103" s="70" t="s">
        <v>174</v>
      </c>
      <c r="B103" s="71" t="s">
        <v>2</v>
      </c>
      <c r="C103" s="72" t="s">
        <v>515</v>
      </c>
      <c r="D103" s="28">
        <v>0</v>
      </c>
      <c r="E103" s="28"/>
      <c r="F103" s="44">
        <v>14950</v>
      </c>
      <c r="G103" s="28">
        <v>0</v>
      </c>
      <c r="H103" s="44">
        <f t="shared" si="13"/>
        <v>14950</v>
      </c>
      <c r="I103" s="243"/>
    </row>
    <row r="104" spans="1:9" ht="45.75">
      <c r="A104" s="77" t="s">
        <v>336</v>
      </c>
      <c r="B104" s="152"/>
      <c r="C104" s="153" t="s">
        <v>444</v>
      </c>
      <c r="D104" s="17">
        <f t="shared" ref="D104:G106" si="16">D105</f>
        <v>20000</v>
      </c>
      <c r="E104" s="17"/>
      <c r="F104" s="17">
        <f t="shared" si="9"/>
        <v>20000</v>
      </c>
      <c r="G104" s="17">
        <f t="shared" si="16"/>
        <v>0</v>
      </c>
      <c r="H104" s="17">
        <f t="shared" si="10"/>
        <v>20000</v>
      </c>
      <c r="I104" s="147"/>
    </row>
    <row r="105" spans="1:9" s="37" customFormat="1" hidden="1">
      <c r="A105" s="14" t="s">
        <v>133</v>
      </c>
      <c r="B105" s="15"/>
      <c r="C105" s="43" t="s">
        <v>217</v>
      </c>
      <c r="D105" s="12">
        <f t="shared" si="16"/>
        <v>20000</v>
      </c>
      <c r="E105" s="12"/>
      <c r="F105" s="17">
        <f t="shared" si="9"/>
        <v>20000</v>
      </c>
      <c r="G105" s="12">
        <f t="shared" si="16"/>
        <v>0</v>
      </c>
      <c r="H105" s="17">
        <f t="shared" si="10"/>
        <v>20000</v>
      </c>
      <c r="I105" s="163"/>
    </row>
    <row r="106" spans="1:9" s="37" customFormat="1" hidden="1">
      <c r="A106" s="14" t="s">
        <v>147</v>
      </c>
      <c r="B106" s="15"/>
      <c r="C106" s="43" t="s">
        <v>218</v>
      </c>
      <c r="D106" s="12">
        <f t="shared" si="16"/>
        <v>20000</v>
      </c>
      <c r="E106" s="12"/>
      <c r="F106" s="17">
        <f t="shared" si="9"/>
        <v>20000</v>
      </c>
      <c r="G106" s="12">
        <f t="shared" si="16"/>
        <v>0</v>
      </c>
      <c r="H106" s="17">
        <f t="shared" si="10"/>
        <v>20000</v>
      </c>
      <c r="I106" s="163"/>
    </row>
    <row r="107" spans="1:9" s="37" customFormat="1" ht="15.75" customHeight="1">
      <c r="A107" s="14" t="s">
        <v>155</v>
      </c>
      <c r="B107" s="13"/>
      <c r="C107" s="43" t="s">
        <v>445</v>
      </c>
      <c r="D107" s="8">
        <v>20000</v>
      </c>
      <c r="E107" s="8"/>
      <c r="F107" s="17">
        <f t="shared" si="9"/>
        <v>20000</v>
      </c>
      <c r="G107" s="8">
        <v>0</v>
      </c>
      <c r="H107" s="8">
        <f t="shared" si="10"/>
        <v>20000</v>
      </c>
      <c r="I107" s="182" t="s">
        <v>337</v>
      </c>
    </row>
    <row r="108" spans="1:9" s="37" customFormat="1" ht="15" customHeight="1">
      <c r="A108" s="319" t="s">
        <v>338</v>
      </c>
      <c r="B108" s="319"/>
      <c r="C108" s="319"/>
      <c r="D108" s="319"/>
      <c r="E108" s="319"/>
      <c r="F108" s="319"/>
      <c r="G108" s="319"/>
      <c r="H108" s="319"/>
      <c r="I108" s="182"/>
    </row>
    <row r="109" spans="1:9" s="36" customFormat="1" ht="26.25" customHeight="1">
      <c r="A109" s="77" t="s">
        <v>339</v>
      </c>
      <c r="B109" s="152" t="s">
        <v>2</v>
      </c>
      <c r="C109" s="153" t="s">
        <v>488</v>
      </c>
      <c r="D109" s="17">
        <f t="shared" ref="D109:G111" si="17">D110</f>
        <v>173200</v>
      </c>
      <c r="E109" s="17">
        <f t="shared" si="17"/>
        <v>0</v>
      </c>
      <c r="F109" s="17">
        <f>F112</f>
        <v>138600</v>
      </c>
      <c r="G109" s="17">
        <f t="shared" si="17"/>
        <v>0</v>
      </c>
      <c r="H109" s="17">
        <f>F109-G109</f>
        <v>138600</v>
      </c>
      <c r="I109" s="158"/>
    </row>
    <row r="110" spans="1:9" s="36" customFormat="1" hidden="1">
      <c r="A110" s="14" t="s">
        <v>133</v>
      </c>
      <c r="B110" s="15" t="s">
        <v>2</v>
      </c>
      <c r="C110" s="16" t="s">
        <v>175</v>
      </c>
      <c r="D110" s="12">
        <f t="shared" si="17"/>
        <v>173200</v>
      </c>
      <c r="E110" s="12"/>
      <c r="F110" s="17">
        <f t="shared" ref="F110:F173" si="18">D110+E110</f>
        <v>173200</v>
      </c>
      <c r="G110" s="12">
        <f t="shared" si="17"/>
        <v>0</v>
      </c>
      <c r="H110" s="17">
        <f t="shared" ref="H110:H178" si="19">F110-G110</f>
        <v>173200</v>
      </c>
      <c r="I110" s="158"/>
    </row>
    <row r="111" spans="1:9" s="36" customFormat="1" hidden="1">
      <c r="A111" s="14" t="s">
        <v>147</v>
      </c>
      <c r="B111" s="15" t="s">
        <v>2</v>
      </c>
      <c r="C111" s="16" t="s">
        <v>176</v>
      </c>
      <c r="D111" s="12">
        <f t="shared" si="17"/>
        <v>173200</v>
      </c>
      <c r="E111" s="12"/>
      <c r="F111" s="17">
        <f t="shared" si="18"/>
        <v>173200</v>
      </c>
      <c r="G111" s="12">
        <f t="shared" si="17"/>
        <v>0</v>
      </c>
      <c r="H111" s="17">
        <f t="shared" si="19"/>
        <v>173200</v>
      </c>
      <c r="I111" s="158"/>
    </row>
    <row r="112" spans="1:9" s="36" customFormat="1">
      <c r="A112" s="14" t="s">
        <v>155</v>
      </c>
      <c r="B112" s="15" t="s">
        <v>2</v>
      </c>
      <c r="C112" s="16" t="s">
        <v>487</v>
      </c>
      <c r="D112" s="12">
        <v>173200</v>
      </c>
      <c r="E112" s="12"/>
      <c r="F112" s="8">
        <v>138600</v>
      </c>
      <c r="G112" s="12"/>
      <c r="H112" s="8">
        <f t="shared" si="19"/>
        <v>138600</v>
      </c>
      <c r="I112" s="158"/>
    </row>
    <row r="113" spans="1:9" s="36" customFormat="1" ht="45.75">
      <c r="A113" s="77" t="s">
        <v>340</v>
      </c>
      <c r="B113" s="152" t="s">
        <v>2</v>
      </c>
      <c r="C113" s="153" t="s">
        <v>446</v>
      </c>
      <c r="D113" s="17">
        <f t="shared" ref="D113:G115" si="20">D114</f>
        <v>180</v>
      </c>
      <c r="E113" s="17"/>
      <c r="F113" s="17">
        <f>F116</f>
        <v>1386</v>
      </c>
      <c r="G113" s="17"/>
      <c r="H113" s="17">
        <f t="shared" si="19"/>
        <v>1386</v>
      </c>
      <c r="I113" s="158"/>
    </row>
    <row r="114" spans="1:9" s="36" customFormat="1" hidden="1">
      <c r="A114" s="14" t="s">
        <v>133</v>
      </c>
      <c r="B114" s="15" t="s">
        <v>2</v>
      </c>
      <c r="C114" s="16" t="s">
        <v>177</v>
      </c>
      <c r="D114" s="12">
        <f t="shared" si="20"/>
        <v>180</v>
      </c>
      <c r="E114" s="12"/>
      <c r="F114" s="17">
        <f t="shared" si="18"/>
        <v>180</v>
      </c>
      <c r="G114" s="12">
        <f t="shared" si="20"/>
        <v>0</v>
      </c>
      <c r="H114" s="17">
        <f t="shared" si="19"/>
        <v>180</v>
      </c>
      <c r="I114" s="158"/>
    </row>
    <row r="115" spans="1:9" s="36" customFormat="1" hidden="1">
      <c r="A115" s="14" t="s">
        <v>147</v>
      </c>
      <c r="B115" s="15" t="s">
        <v>2</v>
      </c>
      <c r="C115" s="16" t="s">
        <v>178</v>
      </c>
      <c r="D115" s="12">
        <f t="shared" si="20"/>
        <v>180</v>
      </c>
      <c r="E115" s="12"/>
      <c r="F115" s="17">
        <f t="shared" si="18"/>
        <v>180</v>
      </c>
      <c r="G115" s="12">
        <f t="shared" si="20"/>
        <v>0</v>
      </c>
      <c r="H115" s="17">
        <f t="shared" si="19"/>
        <v>180</v>
      </c>
      <c r="I115" s="158"/>
    </row>
    <row r="116" spans="1:9" s="36" customFormat="1">
      <c r="A116" s="14" t="s">
        <v>155</v>
      </c>
      <c r="B116" s="15" t="s">
        <v>2</v>
      </c>
      <c r="C116" s="16" t="s">
        <v>447</v>
      </c>
      <c r="D116" s="12">
        <v>180</v>
      </c>
      <c r="E116" s="12"/>
      <c r="F116" s="8">
        <v>1386</v>
      </c>
      <c r="G116" s="12"/>
      <c r="H116" s="8">
        <f t="shared" si="19"/>
        <v>1386</v>
      </c>
      <c r="I116" s="158"/>
    </row>
    <row r="117" spans="1:9" s="36" customFormat="1" hidden="1">
      <c r="A117" s="14"/>
      <c r="B117" s="15"/>
      <c r="C117" s="16"/>
      <c r="D117" s="12"/>
      <c r="E117" s="12"/>
      <c r="F117" s="17">
        <f t="shared" si="18"/>
        <v>0</v>
      </c>
      <c r="G117" s="12"/>
      <c r="H117" s="17">
        <f t="shared" si="19"/>
        <v>0</v>
      </c>
      <c r="I117" s="158"/>
    </row>
    <row r="118" spans="1:9" s="36" customFormat="1" ht="26.25" customHeight="1">
      <c r="A118" s="77" t="s">
        <v>339</v>
      </c>
      <c r="B118" s="152" t="s">
        <v>2</v>
      </c>
      <c r="C118" s="153" t="s">
        <v>486</v>
      </c>
      <c r="D118" s="17">
        <f t="shared" ref="D118:G120" si="21">D119</f>
        <v>0</v>
      </c>
      <c r="E118" s="17">
        <f t="shared" si="21"/>
        <v>0</v>
      </c>
      <c r="F118" s="17">
        <v>13600</v>
      </c>
      <c r="G118" s="17">
        <f t="shared" si="21"/>
        <v>0</v>
      </c>
      <c r="H118" s="17">
        <f t="shared" si="19"/>
        <v>13600</v>
      </c>
      <c r="I118" s="158"/>
    </row>
    <row r="119" spans="1:9" s="36" customFormat="1" hidden="1">
      <c r="A119" s="14" t="s">
        <v>133</v>
      </c>
      <c r="B119" s="15" t="s">
        <v>2</v>
      </c>
      <c r="C119" s="16" t="s">
        <v>175</v>
      </c>
      <c r="D119" s="12">
        <f t="shared" si="21"/>
        <v>0</v>
      </c>
      <c r="E119" s="12"/>
      <c r="F119" s="17">
        <f t="shared" ref="F119:F120" si="22">D119+E119</f>
        <v>0</v>
      </c>
      <c r="G119" s="12">
        <f t="shared" si="21"/>
        <v>0</v>
      </c>
      <c r="H119" s="17">
        <f t="shared" si="19"/>
        <v>0</v>
      </c>
      <c r="I119" s="158"/>
    </row>
    <row r="120" spans="1:9" s="36" customFormat="1" hidden="1">
      <c r="A120" s="14" t="s">
        <v>147</v>
      </c>
      <c r="B120" s="15" t="s">
        <v>2</v>
      </c>
      <c r="C120" s="16" t="s">
        <v>176</v>
      </c>
      <c r="D120" s="12">
        <f t="shared" si="21"/>
        <v>0</v>
      </c>
      <c r="E120" s="12"/>
      <c r="F120" s="17">
        <f t="shared" si="22"/>
        <v>0</v>
      </c>
      <c r="G120" s="12">
        <f t="shared" si="21"/>
        <v>0</v>
      </c>
      <c r="H120" s="17">
        <f t="shared" si="19"/>
        <v>0</v>
      </c>
      <c r="I120" s="158"/>
    </row>
    <row r="121" spans="1:9" s="36" customFormat="1">
      <c r="A121" s="14" t="s">
        <v>155</v>
      </c>
      <c r="B121" s="15" t="s">
        <v>2</v>
      </c>
      <c r="C121" s="16" t="s">
        <v>489</v>
      </c>
      <c r="D121" s="12">
        <v>0</v>
      </c>
      <c r="E121" s="12"/>
      <c r="F121" s="8">
        <v>13600</v>
      </c>
      <c r="G121" s="12"/>
      <c r="H121" s="8">
        <f t="shared" si="19"/>
        <v>13600</v>
      </c>
      <c r="I121" s="158"/>
    </row>
    <row r="122" spans="1:9" s="36" customFormat="1" ht="45.75">
      <c r="A122" s="77" t="s">
        <v>340</v>
      </c>
      <c r="B122" s="152" t="s">
        <v>2</v>
      </c>
      <c r="C122" s="153" t="s">
        <v>490</v>
      </c>
      <c r="D122" s="17">
        <f t="shared" ref="D122:G124" si="23">D123</f>
        <v>0</v>
      </c>
      <c r="E122" s="17"/>
      <c r="F122" s="17">
        <f>F125</f>
        <v>2720</v>
      </c>
      <c r="G122" s="17">
        <f t="shared" si="23"/>
        <v>0</v>
      </c>
      <c r="H122" s="17">
        <f t="shared" si="19"/>
        <v>2720</v>
      </c>
      <c r="I122" s="158"/>
    </row>
    <row r="123" spans="1:9" s="36" customFormat="1" hidden="1">
      <c r="A123" s="14" t="s">
        <v>133</v>
      </c>
      <c r="B123" s="15" t="s">
        <v>2</v>
      </c>
      <c r="C123" s="16" t="s">
        <v>177</v>
      </c>
      <c r="D123" s="12">
        <f t="shared" si="23"/>
        <v>0</v>
      </c>
      <c r="E123" s="12"/>
      <c r="F123" s="17">
        <f t="shared" ref="F123:F124" si="24">D123+E123</f>
        <v>0</v>
      </c>
      <c r="G123" s="12">
        <f t="shared" si="23"/>
        <v>0</v>
      </c>
      <c r="H123" s="17">
        <f t="shared" si="19"/>
        <v>0</v>
      </c>
      <c r="I123" s="158"/>
    </row>
    <row r="124" spans="1:9" s="36" customFormat="1" hidden="1">
      <c r="A124" s="14" t="s">
        <v>147</v>
      </c>
      <c r="B124" s="15" t="s">
        <v>2</v>
      </c>
      <c r="C124" s="16" t="s">
        <v>178</v>
      </c>
      <c r="D124" s="12">
        <f t="shared" si="23"/>
        <v>0</v>
      </c>
      <c r="E124" s="12"/>
      <c r="F124" s="17">
        <f t="shared" si="24"/>
        <v>0</v>
      </c>
      <c r="G124" s="12">
        <f t="shared" si="23"/>
        <v>0</v>
      </c>
      <c r="H124" s="17">
        <f t="shared" si="19"/>
        <v>0</v>
      </c>
      <c r="I124" s="158"/>
    </row>
    <row r="125" spans="1:9" s="36" customFormat="1">
      <c r="A125" s="14" t="s">
        <v>155</v>
      </c>
      <c r="B125" s="15" t="s">
        <v>2</v>
      </c>
      <c r="C125" s="16" t="s">
        <v>491</v>
      </c>
      <c r="D125" s="12">
        <v>0</v>
      </c>
      <c r="E125" s="12"/>
      <c r="F125" s="8">
        <v>2720</v>
      </c>
      <c r="G125" s="12"/>
      <c r="H125" s="8">
        <f t="shared" si="19"/>
        <v>2720</v>
      </c>
      <c r="I125" s="158"/>
    </row>
    <row r="126" spans="1:9" ht="36" customHeight="1">
      <c r="A126" s="77" t="s">
        <v>341</v>
      </c>
      <c r="B126" s="152" t="s">
        <v>2</v>
      </c>
      <c r="C126" s="153" t="s">
        <v>448</v>
      </c>
      <c r="D126" s="17">
        <f>D127</f>
        <v>124000</v>
      </c>
      <c r="E126" s="17">
        <v>-41310</v>
      </c>
      <c r="F126" s="17">
        <f>F129</f>
        <v>212785</v>
      </c>
      <c r="G126" s="17">
        <f t="shared" ref="D126:G128" si="25">G127</f>
        <v>0</v>
      </c>
      <c r="H126" s="17">
        <f t="shared" si="19"/>
        <v>212785</v>
      </c>
      <c r="I126" s="147">
        <v>100967</v>
      </c>
    </row>
    <row r="127" spans="1:9" s="37" customFormat="1" hidden="1">
      <c r="A127" s="14" t="s">
        <v>133</v>
      </c>
      <c r="B127" s="15" t="s">
        <v>2</v>
      </c>
      <c r="C127" s="16" t="s">
        <v>179</v>
      </c>
      <c r="D127" s="12">
        <f t="shared" si="25"/>
        <v>124000</v>
      </c>
      <c r="E127" s="12"/>
      <c r="F127" s="17">
        <f t="shared" si="18"/>
        <v>124000</v>
      </c>
      <c r="G127" s="12">
        <f t="shared" si="25"/>
        <v>0</v>
      </c>
      <c r="H127" s="17">
        <f t="shared" si="19"/>
        <v>124000</v>
      </c>
      <c r="I127" s="170" t="e">
        <f>I126-#REF!</f>
        <v>#REF!</v>
      </c>
    </row>
    <row r="128" spans="1:9" s="37" customFormat="1" hidden="1">
      <c r="A128" s="14" t="s">
        <v>147</v>
      </c>
      <c r="B128" s="15" t="s">
        <v>2</v>
      </c>
      <c r="C128" s="16" t="s">
        <v>180</v>
      </c>
      <c r="D128" s="12">
        <f t="shared" si="25"/>
        <v>124000</v>
      </c>
      <c r="E128" s="12"/>
      <c r="F128" s="17">
        <f t="shared" si="18"/>
        <v>124000</v>
      </c>
      <c r="G128" s="12">
        <f t="shared" si="25"/>
        <v>0</v>
      </c>
      <c r="H128" s="17">
        <f t="shared" si="19"/>
        <v>124000</v>
      </c>
      <c r="I128" s="163"/>
    </row>
    <row r="129" spans="1:9" s="37" customFormat="1">
      <c r="A129" s="14" t="s">
        <v>155</v>
      </c>
      <c r="B129" s="15" t="s">
        <v>2</v>
      </c>
      <c r="C129" s="16" t="s">
        <v>449</v>
      </c>
      <c r="D129" s="12">
        <v>124000</v>
      </c>
      <c r="E129" s="12">
        <v>-41310</v>
      </c>
      <c r="F129" s="8">
        <v>212785</v>
      </c>
      <c r="G129" s="12">
        <v>0</v>
      </c>
      <c r="H129" s="8">
        <f t="shared" si="19"/>
        <v>212785</v>
      </c>
      <c r="I129" s="17"/>
    </row>
    <row r="130" spans="1:9" s="35" customFormat="1" ht="23.25">
      <c r="A130" s="77" t="s">
        <v>342</v>
      </c>
      <c r="B130" s="152" t="s">
        <v>2</v>
      </c>
      <c r="C130" s="153" t="s">
        <v>450</v>
      </c>
      <c r="D130" s="21">
        <f t="shared" ref="D130:G132" si="26">D131</f>
        <v>40000</v>
      </c>
      <c r="E130" s="21">
        <f t="shared" si="26"/>
        <v>0</v>
      </c>
      <c r="F130" s="21">
        <f t="shared" si="26"/>
        <v>40000</v>
      </c>
      <c r="G130" s="21"/>
      <c r="H130" s="17">
        <f t="shared" si="19"/>
        <v>40000</v>
      </c>
      <c r="I130" s="164"/>
    </row>
    <row r="131" spans="1:9" s="36" customFormat="1" hidden="1">
      <c r="A131" s="14" t="s">
        <v>133</v>
      </c>
      <c r="B131" s="13"/>
      <c r="C131" s="43" t="s">
        <v>267</v>
      </c>
      <c r="D131" s="12">
        <f t="shared" si="26"/>
        <v>40000</v>
      </c>
      <c r="E131" s="12"/>
      <c r="F131" s="17">
        <f t="shared" si="18"/>
        <v>40000</v>
      </c>
      <c r="G131" s="12">
        <f t="shared" si="26"/>
        <v>0</v>
      </c>
      <c r="H131" s="17">
        <f t="shared" si="19"/>
        <v>40000</v>
      </c>
      <c r="I131" s="158"/>
    </row>
    <row r="132" spans="1:9" s="36" customFormat="1" hidden="1">
      <c r="A132" s="14" t="s">
        <v>147</v>
      </c>
      <c r="B132" s="15"/>
      <c r="C132" s="43" t="s">
        <v>268</v>
      </c>
      <c r="D132" s="12">
        <f t="shared" si="26"/>
        <v>40000</v>
      </c>
      <c r="E132" s="12"/>
      <c r="F132" s="17">
        <f t="shared" si="18"/>
        <v>40000</v>
      </c>
      <c r="G132" s="12">
        <f t="shared" si="26"/>
        <v>0</v>
      </c>
      <c r="H132" s="17">
        <f t="shared" si="19"/>
        <v>40000</v>
      </c>
      <c r="I132" s="158"/>
    </row>
    <row r="133" spans="1:9" s="36" customFormat="1" ht="15.75" customHeight="1">
      <c r="A133" s="14" t="s">
        <v>151</v>
      </c>
      <c r="B133" s="15"/>
      <c r="C133" s="43" t="s">
        <v>451</v>
      </c>
      <c r="D133" s="12">
        <v>40000</v>
      </c>
      <c r="E133" s="12">
        <v>40000</v>
      </c>
      <c r="F133" s="12">
        <v>40000</v>
      </c>
      <c r="G133" s="12">
        <v>0</v>
      </c>
      <c r="H133" s="17">
        <f t="shared" si="19"/>
        <v>40000</v>
      </c>
      <c r="I133" s="158"/>
    </row>
    <row r="134" spans="1:9">
      <c r="A134" s="77" t="s">
        <v>343</v>
      </c>
      <c r="B134" s="152" t="s">
        <v>2</v>
      </c>
      <c r="C134" s="153" t="s">
        <v>452</v>
      </c>
      <c r="D134" s="17">
        <f>D135</f>
        <v>3000</v>
      </c>
      <c r="E134" s="17"/>
      <c r="F134" s="17">
        <f t="shared" si="18"/>
        <v>3000</v>
      </c>
      <c r="G134" s="17">
        <f t="shared" ref="D134:G136" si="27">G135</f>
        <v>0</v>
      </c>
      <c r="H134" s="17">
        <f t="shared" si="19"/>
        <v>3000</v>
      </c>
      <c r="I134" s="147"/>
    </row>
    <row r="135" spans="1:9" s="37" customFormat="1" hidden="1">
      <c r="A135" s="14" t="s">
        <v>133</v>
      </c>
      <c r="B135" s="15" t="s">
        <v>2</v>
      </c>
      <c r="C135" s="16" t="s">
        <v>181</v>
      </c>
      <c r="D135" s="12">
        <f t="shared" si="27"/>
        <v>3000</v>
      </c>
      <c r="E135" s="12"/>
      <c r="F135" s="17">
        <f t="shared" si="18"/>
        <v>3000</v>
      </c>
      <c r="G135" s="12">
        <f t="shared" si="27"/>
        <v>0</v>
      </c>
      <c r="H135" s="17">
        <f t="shared" si="19"/>
        <v>3000</v>
      </c>
      <c r="I135" s="163"/>
    </row>
    <row r="136" spans="1:9" s="37" customFormat="1" hidden="1">
      <c r="A136" s="14" t="s">
        <v>147</v>
      </c>
      <c r="B136" s="15" t="s">
        <v>2</v>
      </c>
      <c r="C136" s="16" t="s">
        <v>182</v>
      </c>
      <c r="D136" s="12">
        <f t="shared" si="27"/>
        <v>3000</v>
      </c>
      <c r="E136" s="12"/>
      <c r="F136" s="17">
        <f t="shared" si="18"/>
        <v>3000</v>
      </c>
      <c r="G136" s="12">
        <f t="shared" si="27"/>
        <v>0</v>
      </c>
      <c r="H136" s="17">
        <f t="shared" si="19"/>
        <v>3000</v>
      </c>
      <c r="I136" s="163"/>
    </row>
    <row r="137" spans="1:9" s="37" customFormat="1">
      <c r="A137" s="14" t="s">
        <v>151</v>
      </c>
      <c r="B137" s="15" t="s">
        <v>2</v>
      </c>
      <c r="C137" s="16" t="s">
        <v>453</v>
      </c>
      <c r="D137" s="12">
        <v>3000</v>
      </c>
      <c r="E137" s="12"/>
      <c r="F137" s="8">
        <f t="shared" si="18"/>
        <v>3000</v>
      </c>
      <c r="G137" s="12">
        <v>0</v>
      </c>
      <c r="H137" s="8">
        <f t="shared" si="19"/>
        <v>3000</v>
      </c>
      <c r="I137" s="163"/>
    </row>
    <row r="138" spans="1:9">
      <c r="A138" s="77" t="s">
        <v>344</v>
      </c>
      <c r="B138" s="152" t="s">
        <v>2</v>
      </c>
      <c r="C138" s="153" t="s">
        <v>454</v>
      </c>
      <c r="D138" s="17">
        <v>1000</v>
      </c>
      <c r="E138" s="17"/>
      <c r="F138" s="17">
        <f t="shared" si="18"/>
        <v>1000</v>
      </c>
      <c r="G138" s="17">
        <v>0</v>
      </c>
      <c r="H138" s="17">
        <f t="shared" si="19"/>
        <v>1000</v>
      </c>
      <c r="I138" s="147"/>
    </row>
    <row r="139" spans="1:9" s="37" customFormat="1" hidden="1">
      <c r="A139" s="14" t="s">
        <v>133</v>
      </c>
      <c r="B139" s="15" t="s">
        <v>2</v>
      </c>
      <c r="C139" s="16" t="s">
        <v>183</v>
      </c>
      <c r="D139" s="12">
        <v>1000</v>
      </c>
      <c r="E139" s="12"/>
      <c r="F139" s="17">
        <f t="shared" si="18"/>
        <v>1000</v>
      </c>
      <c r="G139" s="12">
        <v>0</v>
      </c>
      <c r="H139" s="17">
        <f t="shared" si="19"/>
        <v>1000</v>
      </c>
      <c r="I139" s="163"/>
    </row>
    <row r="140" spans="1:9" s="37" customFormat="1" hidden="1">
      <c r="A140" s="14" t="s">
        <v>147</v>
      </c>
      <c r="B140" s="15" t="s">
        <v>2</v>
      </c>
      <c r="C140" s="16" t="s">
        <v>184</v>
      </c>
      <c r="D140" s="12">
        <v>1000</v>
      </c>
      <c r="E140" s="12"/>
      <c r="F140" s="17">
        <f t="shared" si="18"/>
        <v>1000</v>
      </c>
      <c r="G140" s="12">
        <v>0</v>
      </c>
      <c r="H140" s="17">
        <f t="shared" si="19"/>
        <v>1000</v>
      </c>
      <c r="I140" s="163"/>
    </row>
    <row r="141" spans="1:9" s="37" customFormat="1">
      <c r="A141" s="14" t="s">
        <v>155</v>
      </c>
      <c r="B141" s="15" t="s">
        <v>2</v>
      </c>
      <c r="C141" s="16" t="s">
        <v>455</v>
      </c>
      <c r="D141" s="12">
        <v>1000</v>
      </c>
      <c r="E141" s="12"/>
      <c r="F141" s="8">
        <f t="shared" si="18"/>
        <v>1000</v>
      </c>
      <c r="G141" s="12">
        <v>0</v>
      </c>
      <c r="H141" s="8">
        <f t="shared" si="19"/>
        <v>1000</v>
      </c>
      <c r="I141" s="163"/>
    </row>
    <row r="142" spans="1:9">
      <c r="A142" s="77" t="s">
        <v>345</v>
      </c>
      <c r="B142" s="152" t="s">
        <v>2</v>
      </c>
      <c r="C142" s="153" t="s">
        <v>456</v>
      </c>
      <c r="D142" s="17">
        <f>D143</f>
        <v>278760</v>
      </c>
      <c r="E142" s="17">
        <f t="shared" ref="E142:F142" si="28">E143</f>
        <v>0</v>
      </c>
      <c r="F142" s="17">
        <f t="shared" si="28"/>
        <v>278760</v>
      </c>
      <c r="G142" s="17">
        <f>G145+G146</f>
        <v>134590.1</v>
      </c>
      <c r="H142" s="17">
        <f t="shared" si="19"/>
        <v>144169.9</v>
      </c>
      <c r="I142" s="147"/>
    </row>
    <row r="143" spans="1:9" s="37" customFormat="1" hidden="1">
      <c r="A143" s="14" t="s">
        <v>133</v>
      </c>
      <c r="B143" s="15" t="s">
        <v>2</v>
      </c>
      <c r="C143" s="16" t="s">
        <v>186</v>
      </c>
      <c r="D143" s="12">
        <f>D144</f>
        <v>278760</v>
      </c>
      <c r="E143" s="12"/>
      <c r="F143" s="17">
        <f t="shared" si="18"/>
        <v>278760</v>
      </c>
      <c r="G143" s="12">
        <f>G144</f>
        <v>134590.1</v>
      </c>
      <c r="H143" s="17">
        <f t="shared" si="19"/>
        <v>144169.9</v>
      </c>
      <c r="I143" s="163"/>
    </row>
    <row r="144" spans="1:9" s="37" customFormat="1" ht="23.25" hidden="1">
      <c r="A144" s="14" t="s">
        <v>135</v>
      </c>
      <c r="B144" s="15" t="s">
        <v>2</v>
      </c>
      <c r="C144" s="16" t="s">
        <v>187</v>
      </c>
      <c r="D144" s="12">
        <f>D145+D146</f>
        <v>278760</v>
      </c>
      <c r="E144" s="12"/>
      <c r="F144" s="17">
        <f t="shared" si="18"/>
        <v>278760</v>
      </c>
      <c r="G144" s="12">
        <f>G145+G146</f>
        <v>134590.1</v>
      </c>
      <c r="H144" s="17">
        <f t="shared" si="19"/>
        <v>144169.9</v>
      </c>
      <c r="I144" s="163"/>
    </row>
    <row r="145" spans="1:9" s="37" customFormat="1">
      <c r="A145" s="14" t="s">
        <v>137</v>
      </c>
      <c r="B145" s="15" t="s">
        <v>2</v>
      </c>
      <c r="C145" s="16" t="s">
        <v>457</v>
      </c>
      <c r="D145" s="12">
        <v>214102</v>
      </c>
      <c r="E145" s="12">
        <v>214102</v>
      </c>
      <c r="F145" s="12">
        <v>214102</v>
      </c>
      <c r="G145" s="12">
        <v>103371.78</v>
      </c>
      <c r="H145" s="8">
        <f t="shared" si="19"/>
        <v>110730.22</v>
      </c>
      <c r="I145" s="163"/>
    </row>
    <row r="146" spans="1:9" s="37" customFormat="1">
      <c r="A146" s="14" t="s">
        <v>138</v>
      </c>
      <c r="B146" s="15" t="s">
        <v>2</v>
      </c>
      <c r="C146" s="16" t="s">
        <v>458</v>
      </c>
      <c r="D146" s="12">
        <v>64658</v>
      </c>
      <c r="E146" s="12">
        <v>64658</v>
      </c>
      <c r="F146" s="12">
        <v>64658</v>
      </c>
      <c r="G146" s="12">
        <v>31218.32</v>
      </c>
      <c r="H146" s="8">
        <f t="shared" si="19"/>
        <v>33439.68</v>
      </c>
      <c r="I146" s="163"/>
    </row>
    <row r="147" spans="1:9" s="25" customFormat="1">
      <c r="A147" s="183" t="s">
        <v>185</v>
      </c>
      <c r="B147" s="184" t="s">
        <v>2</v>
      </c>
      <c r="C147" s="185" t="s">
        <v>518</v>
      </c>
      <c r="D147" s="29">
        <f>D148</f>
        <v>0</v>
      </c>
      <c r="E147" s="29">
        <f t="shared" ref="E147" si="29">E148</f>
        <v>0</v>
      </c>
      <c r="F147" s="29">
        <f>F150</f>
        <v>1000000</v>
      </c>
      <c r="G147" s="29">
        <v>0</v>
      </c>
      <c r="H147" s="29">
        <f t="shared" ref="H147:H151" si="30">F147-G147</f>
        <v>1000000</v>
      </c>
      <c r="I147" s="161"/>
    </row>
    <row r="148" spans="1:9" s="85" customFormat="1" hidden="1">
      <c r="A148" s="70" t="s">
        <v>133</v>
      </c>
      <c r="B148" s="71" t="s">
        <v>2</v>
      </c>
      <c r="C148" s="72" t="s">
        <v>186</v>
      </c>
      <c r="D148" s="28">
        <f>D149</f>
        <v>0</v>
      </c>
      <c r="E148" s="28"/>
      <c r="F148" s="29">
        <f t="shared" ref="F148:F149" si="31">D148+E148</f>
        <v>0</v>
      </c>
      <c r="G148" s="28">
        <f>G149</f>
        <v>0</v>
      </c>
      <c r="H148" s="29">
        <f t="shared" si="30"/>
        <v>0</v>
      </c>
      <c r="I148" s="168"/>
    </row>
    <row r="149" spans="1:9" s="85" customFormat="1" ht="23.25" hidden="1">
      <c r="A149" s="70" t="s">
        <v>135</v>
      </c>
      <c r="B149" s="71" t="s">
        <v>2</v>
      </c>
      <c r="C149" s="72" t="s">
        <v>187</v>
      </c>
      <c r="D149" s="28">
        <f>D150+D151</f>
        <v>0</v>
      </c>
      <c r="E149" s="28"/>
      <c r="F149" s="29">
        <f t="shared" si="31"/>
        <v>0</v>
      </c>
      <c r="G149" s="28">
        <f>G150+G151</f>
        <v>0</v>
      </c>
      <c r="H149" s="29">
        <f t="shared" si="30"/>
        <v>0</v>
      </c>
      <c r="I149" s="168"/>
    </row>
    <row r="150" spans="1:9" s="85" customFormat="1">
      <c r="A150" s="70" t="s">
        <v>157</v>
      </c>
      <c r="B150" s="71" t="s">
        <v>2</v>
      </c>
      <c r="C150" s="72" t="s">
        <v>517</v>
      </c>
      <c r="D150" s="28">
        <v>0</v>
      </c>
      <c r="E150" s="28">
        <v>214102</v>
      </c>
      <c r="F150" s="28">
        <f>F151</f>
        <v>1000000</v>
      </c>
      <c r="G150" s="28">
        <v>0</v>
      </c>
      <c r="H150" s="44">
        <f t="shared" si="30"/>
        <v>1000000</v>
      </c>
      <c r="I150" s="168"/>
    </row>
    <row r="151" spans="1:9" s="85" customFormat="1">
      <c r="A151" s="70" t="s">
        <v>174</v>
      </c>
      <c r="B151" s="71" t="s">
        <v>2</v>
      </c>
      <c r="C151" s="72" t="s">
        <v>516</v>
      </c>
      <c r="D151" s="28">
        <v>0</v>
      </c>
      <c r="E151" s="28">
        <v>64658</v>
      </c>
      <c r="F151" s="28">
        <v>1000000</v>
      </c>
      <c r="G151" s="28">
        <v>0</v>
      </c>
      <c r="H151" s="44">
        <f t="shared" si="30"/>
        <v>1000000</v>
      </c>
      <c r="I151" s="168"/>
    </row>
    <row r="152" spans="1:9">
      <c r="A152" s="77" t="s">
        <v>345</v>
      </c>
      <c r="B152" s="152" t="s">
        <v>2</v>
      </c>
      <c r="C152" s="153" t="s">
        <v>459</v>
      </c>
      <c r="D152" s="17">
        <f>D153+D157</f>
        <v>614200</v>
      </c>
      <c r="E152" s="17"/>
      <c r="F152" s="17">
        <f>F155+F156+F158+F159</f>
        <v>629200</v>
      </c>
      <c r="G152" s="17">
        <f>G153+G157</f>
        <v>211926.94</v>
      </c>
      <c r="H152" s="17">
        <f t="shared" si="19"/>
        <v>417273.06</v>
      </c>
      <c r="I152" s="147"/>
    </row>
    <row r="153" spans="1:9" s="37" customFormat="1" hidden="1">
      <c r="A153" s="14" t="s">
        <v>133</v>
      </c>
      <c r="B153" s="15" t="s">
        <v>2</v>
      </c>
      <c r="C153" s="16" t="s">
        <v>188</v>
      </c>
      <c r="D153" s="12">
        <f>D154</f>
        <v>596923</v>
      </c>
      <c r="E153" s="12"/>
      <c r="F153" s="17">
        <f t="shared" si="18"/>
        <v>596923</v>
      </c>
      <c r="G153" s="12">
        <f>G154</f>
        <v>211926.94</v>
      </c>
      <c r="H153" s="17">
        <f t="shared" si="19"/>
        <v>384996.06</v>
      </c>
      <c r="I153" s="163"/>
    </row>
    <row r="154" spans="1:9" s="37" customFormat="1" hidden="1">
      <c r="A154" s="14" t="s">
        <v>147</v>
      </c>
      <c r="B154" s="15" t="s">
        <v>2</v>
      </c>
      <c r="C154" s="16" t="s">
        <v>189</v>
      </c>
      <c r="D154" s="12">
        <f>D155+D156</f>
        <v>596923</v>
      </c>
      <c r="E154" s="12"/>
      <c r="F154" s="17">
        <f t="shared" si="18"/>
        <v>596923</v>
      </c>
      <c r="G154" s="12">
        <f>G155+G156</f>
        <v>211926.94</v>
      </c>
      <c r="H154" s="17">
        <f t="shared" si="19"/>
        <v>384996.06</v>
      </c>
      <c r="I154" s="163"/>
    </row>
    <row r="155" spans="1:9" s="37" customFormat="1">
      <c r="A155" s="14" t="s">
        <v>346</v>
      </c>
      <c r="B155" s="15" t="s">
        <v>2</v>
      </c>
      <c r="C155" s="16" t="s">
        <v>460</v>
      </c>
      <c r="D155" s="12">
        <v>594200</v>
      </c>
      <c r="E155" s="12"/>
      <c r="F155" s="8">
        <f t="shared" si="18"/>
        <v>594200</v>
      </c>
      <c r="G155" s="12">
        <v>211926.94</v>
      </c>
      <c r="H155" s="8">
        <f t="shared" si="19"/>
        <v>382273.06</v>
      </c>
      <c r="I155" s="163"/>
    </row>
    <row r="156" spans="1:9" s="37" customFormat="1">
      <c r="A156" s="14" t="s">
        <v>151</v>
      </c>
      <c r="B156" s="15"/>
      <c r="C156" s="16" t="s">
        <v>461</v>
      </c>
      <c r="D156" s="12">
        <v>2723</v>
      </c>
      <c r="E156" s="12"/>
      <c r="F156" s="8">
        <f t="shared" si="18"/>
        <v>2723</v>
      </c>
      <c r="G156" s="12"/>
      <c r="H156" s="8">
        <f t="shared" si="19"/>
        <v>2723</v>
      </c>
      <c r="I156" s="163"/>
    </row>
    <row r="157" spans="1:9" s="37" customFormat="1" hidden="1">
      <c r="A157" s="14" t="s">
        <v>157</v>
      </c>
      <c r="B157" s="15"/>
      <c r="C157" s="16" t="s">
        <v>219</v>
      </c>
      <c r="D157" s="12">
        <f>D158+D159</f>
        <v>17277</v>
      </c>
      <c r="E157" s="12"/>
      <c r="F157" s="17">
        <f t="shared" si="18"/>
        <v>17277</v>
      </c>
      <c r="G157" s="12">
        <f>G158+G159</f>
        <v>0</v>
      </c>
      <c r="H157" s="8">
        <f t="shared" si="19"/>
        <v>17277</v>
      </c>
      <c r="I157" s="163"/>
    </row>
    <row r="158" spans="1:9" s="37" customFormat="1">
      <c r="A158" s="14" t="s">
        <v>174</v>
      </c>
      <c r="B158" s="15"/>
      <c r="C158" s="16" t="s">
        <v>462</v>
      </c>
      <c r="D158" s="12">
        <v>7277</v>
      </c>
      <c r="E158" s="12"/>
      <c r="F158" s="8">
        <f t="shared" si="18"/>
        <v>7277</v>
      </c>
      <c r="G158" s="12"/>
      <c r="H158" s="8">
        <f t="shared" si="19"/>
        <v>7277</v>
      </c>
      <c r="I158" s="163"/>
    </row>
    <row r="159" spans="1:9" s="37" customFormat="1">
      <c r="A159" s="14" t="s">
        <v>158</v>
      </c>
      <c r="B159" s="15"/>
      <c r="C159" s="16" t="s">
        <v>463</v>
      </c>
      <c r="D159" s="12">
        <v>10000</v>
      </c>
      <c r="E159" s="12"/>
      <c r="F159" s="8">
        <v>25000</v>
      </c>
      <c r="G159" s="12"/>
      <c r="H159" s="8">
        <f t="shared" si="19"/>
        <v>25000</v>
      </c>
      <c r="I159" s="163"/>
    </row>
    <row r="160" spans="1:9" ht="23.25">
      <c r="A160" s="77" t="s">
        <v>347</v>
      </c>
      <c r="B160" s="152" t="s">
        <v>2</v>
      </c>
      <c r="C160" s="153" t="s">
        <v>464</v>
      </c>
      <c r="D160" s="17">
        <f t="shared" ref="D160:G162" si="32">D161</f>
        <v>20000</v>
      </c>
      <c r="E160" s="17"/>
      <c r="F160" s="17">
        <f t="shared" si="18"/>
        <v>20000</v>
      </c>
      <c r="G160" s="17">
        <f t="shared" si="32"/>
        <v>0</v>
      </c>
      <c r="H160" s="17">
        <f t="shared" si="19"/>
        <v>20000</v>
      </c>
      <c r="I160" s="147"/>
    </row>
    <row r="161" spans="1:15" s="37" customFormat="1" hidden="1">
      <c r="A161" s="14" t="s">
        <v>133</v>
      </c>
      <c r="B161" s="15" t="s">
        <v>2</v>
      </c>
      <c r="C161" s="16" t="s">
        <v>190</v>
      </c>
      <c r="D161" s="12">
        <f t="shared" si="32"/>
        <v>20000</v>
      </c>
      <c r="E161" s="12"/>
      <c r="F161" s="17">
        <f t="shared" si="18"/>
        <v>20000</v>
      </c>
      <c r="G161" s="12">
        <f t="shared" si="32"/>
        <v>0</v>
      </c>
      <c r="H161" s="17">
        <f t="shared" si="19"/>
        <v>20000</v>
      </c>
      <c r="I161" s="163"/>
    </row>
    <row r="162" spans="1:15" s="37" customFormat="1" hidden="1">
      <c r="A162" s="14" t="s">
        <v>147</v>
      </c>
      <c r="B162" s="15" t="s">
        <v>2</v>
      </c>
      <c r="C162" s="16" t="s">
        <v>191</v>
      </c>
      <c r="D162" s="12">
        <f t="shared" si="32"/>
        <v>20000</v>
      </c>
      <c r="E162" s="12"/>
      <c r="F162" s="17">
        <f t="shared" si="18"/>
        <v>20000</v>
      </c>
      <c r="G162" s="12">
        <f t="shared" si="32"/>
        <v>0</v>
      </c>
      <c r="H162" s="17">
        <f t="shared" si="19"/>
        <v>20000</v>
      </c>
      <c r="I162" s="163"/>
    </row>
    <row r="163" spans="1:15" s="37" customFormat="1">
      <c r="A163" s="14" t="s">
        <v>155</v>
      </c>
      <c r="B163" s="15" t="s">
        <v>2</v>
      </c>
      <c r="C163" s="16" t="s">
        <v>465</v>
      </c>
      <c r="D163" s="12">
        <v>20000</v>
      </c>
      <c r="E163" s="12"/>
      <c r="F163" s="8">
        <f t="shared" si="18"/>
        <v>20000</v>
      </c>
      <c r="G163" s="12"/>
      <c r="H163" s="8">
        <f t="shared" si="19"/>
        <v>20000</v>
      </c>
      <c r="I163" s="163"/>
    </row>
    <row r="164" spans="1:15" s="32" customFormat="1" hidden="1">
      <c r="A164" s="174" t="s">
        <v>185</v>
      </c>
      <c r="B164" s="178" t="s">
        <v>2</v>
      </c>
      <c r="C164" s="179" t="s">
        <v>192</v>
      </c>
      <c r="D164" s="176">
        <f>D165</f>
        <v>0</v>
      </c>
      <c r="E164" s="176"/>
      <c r="F164" s="17">
        <f t="shared" si="18"/>
        <v>0</v>
      </c>
      <c r="G164" s="176">
        <f>G165</f>
        <v>0</v>
      </c>
      <c r="H164" s="17">
        <f t="shared" si="19"/>
        <v>0</v>
      </c>
      <c r="I164" s="165"/>
    </row>
    <row r="165" spans="1:15" s="32" customFormat="1" hidden="1">
      <c r="A165" s="49" t="s">
        <v>157</v>
      </c>
      <c r="B165" s="50"/>
      <c r="C165" s="48" t="s">
        <v>251</v>
      </c>
      <c r="D165" s="33">
        <f>D166</f>
        <v>0</v>
      </c>
      <c r="E165" s="33"/>
      <c r="F165" s="17">
        <f t="shared" si="18"/>
        <v>0</v>
      </c>
      <c r="G165" s="33">
        <f>G166</f>
        <v>0</v>
      </c>
      <c r="H165" s="17">
        <f t="shared" si="19"/>
        <v>0</v>
      </c>
      <c r="I165" s="165"/>
    </row>
    <row r="166" spans="1:15" s="32" customFormat="1" hidden="1">
      <c r="A166" s="49" t="s">
        <v>174</v>
      </c>
      <c r="B166" s="50"/>
      <c r="C166" s="48" t="s">
        <v>252</v>
      </c>
      <c r="D166" s="33">
        <v>0</v>
      </c>
      <c r="E166" s="33"/>
      <c r="F166" s="17">
        <f t="shared" si="18"/>
        <v>0</v>
      </c>
      <c r="G166" s="33">
        <v>0</v>
      </c>
      <c r="H166" s="17">
        <f t="shared" si="19"/>
        <v>0</v>
      </c>
      <c r="I166" s="165"/>
    </row>
    <row r="167" spans="1:15" s="231" customFormat="1">
      <c r="A167" s="183" t="s">
        <v>496</v>
      </c>
      <c r="B167" s="71"/>
      <c r="C167" s="185" t="s">
        <v>468</v>
      </c>
      <c r="D167" s="29">
        <f>D168</f>
        <v>3710</v>
      </c>
      <c r="E167" s="29">
        <f>E170</f>
        <v>860.99</v>
      </c>
      <c r="F167" s="29">
        <f>F169+F170</f>
        <v>49919.360000000001</v>
      </c>
      <c r="G167" s="29">
        <f>G168</f>
        <v>0</v>
      </c>
      <c r="H167" s="17">
        <f t="shared" si="19"/>
        <v>49919.360000000001</v>
      </c>
      <c r="I167" s="161"/>
      <c r="J167" s="25"/>
      <c r="K167" s="25"/>
      <c r="L167" s="25"/>
      <c r="M167" s="25"/>
      <c r="N167" s="25"/>
      <c r="O167" s="25"/>
    </row>
    <row r="168" spans="1:15" s="37" customFormat="1" hidden="1">
      <c r="A168" s="14" t="s">
        <v>133</v>
      </c>
      <c r="B168" s="71"/>
      <c r="C168" s="242" t="s">
        <v>220</v>
      </c>
      <c r="D168" s="28">
        <f>D170</f>
        <v>3710</v>
      </c>
      <c r="E168" s="28"/>
      <c r="F168" s="29">
        <f t="shared" si="18"/>
        <v>3710</v>
      </c>
      <c r="G168" s="28">
        <f>G170</f>
        <v>0</v>
      </c>
      <c r="H168" s="17">
        <f t="shared" si="19"/>
        <v>3710</v>
      </c>
      <c r="I168" s="168"/>
      <c r="J168" s="85"/>
      <c r="K168" s="85"/>
      <c r="L168" s="85"/>
      <c r="M168" s="85"/>
      <c r="N168" s="85"/>
      <c r="O168" s="85"/>
    </row>
    <row r="169" spans="1:15" s="240" customFormat="1">
      <c r="A169" s="70" t="s">
        <v>174</v>
      </c>
      <c r="B169" s="71"/>
      <c r="C169" s="242" t="s">
        <v>492</v>
      </c>
      <c r="D169" s="28">
        <v>0</v>
      </c>
      <c r="E169" s="28">
        <v>860.99</v>
      </c>
      <c r="F169" s="44">
        <v>26000</v>
      </c>
      <c r="G169" s="28"/>
      <c r="H169" s="8">
        <f t="shared" si="19"/>
        <v>26000</v>
      </c>
      <c r="I169" s="168"/>
      <c r="J169" s="85"/>
      <c r="K169" s="85"/>
      <c r="L169" s="85"/>
      <c r="M169" s="85"/>
      <c r="N169" s="85"/>
      <c r="O169" s="85"/>
    </row>
    <row r="170" spans="1:15" s="240" customFormat="1">
      <c r="A170" s="70" t="s">
        <v>158</v>
      </c>
      <c r="B170" s="71"/>
      <c r="C170" s="242" t="s">
        <v>469</v>
      </c>
      <c r="D170" s="28">
        <v>3710</v>
      </c>
      <c r="E170" s="28">
        <v>860.99</v>
      </c>
      <c r="F170" s="44">
        <v>23919.360000000001</v>
      </c>
      <c r="G170" s="28"/>
      <c r="H170" s="8">
        <f t="shared" si="19"/>
        <v>23919.360000000001</v>
      </c>
      <c r="I170" s="168"/>
      <c r="J170" s="85"/>
      <c r="K170" s="85"/>
      <c r="L170" s="85"/>
      <c r="M170" s="85"/>
      <c r="N170" s="85"/>
      <c r="O170" s="85"/>
    </row>
    <row r="171" spans="1:15" s="231" customFormat="1" hidden="1">
      <c r="A171" s="234"/>
      <c r="B171" s="237"/>
      <c r="C171" s="236"/>
      <c r="D171" s="229"/>
      <c r="E171" s="229"/>
      <c r="F171" s="229">
        <f t="shared" si="18"/>
        <v>0</v>
      </c>
      <c r="G171" s="229"/>
      <c r="H171" s="17">
        <f t="shared" si="19"/>
        <v>0</v>
      </c>
      <c r="I171" s="238"/>
    </row>
    <row r="172" spans="1:15" s="231" customFormat="1" hidden="1">
      <c r="A172" s="235"/>
      <c r="B172" s="239"/>
      <c r="C172" s="241"/>
      <c r="D172" s="230"/>
      <c r="E172" s="230"/>
      <c r="F172" s="229">
        <f t="shared" si="18"/>
        <v>0</v>
      </c>
      <c r="G172" s="230"/>
      <c r="H172" s="17">
        <f t="shared" si="19"/>
        <v>0</v>
      </c>
      <c r="I172" s="238"/>
    </row>
    <row r="173" spans="1:15" s="231" customFormat="1" hidden="1">
      <c r="A173" s="235"/>
      <c r="B173" s="239"/>
      <c r="C173" s="241"/>
      <c r="D173" s="230"/>
      <c r="E173" s="230"/>
      <c r="F173" s="229">
        <f t="shared" si="18"/>
        <v>0</v>
      </c>
      <c r="G173" s="230"/>
      <c r="H173" s="17">
        <f t="shared" si="19"/>
        <v>0</v>
      </c>
      <c r="I173" s="238"/>
    </row>
    <row r="174" spans="1:15" s="25" customFormat="1">
      <c r="A174" s="183" t="s">
        <v>348</v>
      </c>
      <c r="B174" s="71"/>
      <c r="C174" s="185" t="s">
        <v>466</v>
      </c>
      <c r="D174" s="29">
        <f>D175</f>
        <v>2000</v>
      </c>
      <c r="E174" s="29">
        <f t="shared" ref="E174:F174" si="33">E175</f>
        <v>0</v>
      </c>
      <c r="F174" s="29">
        <f t="shared" si="33"/>
        <v>2000</v>
      </c>
      <c r="G174" s="29">
        <f>G175</f>
        <v>820.48</v>
      </c>
      <c r="H174" s="17">
        <f t="shared" si="19"/>
        <v>1179.52</v>
      </c>
      <c r="I174" s="161"/>
    </row>
    <row r="175" spans="1:15" s="37" customFormat="1" hidden="1">
      <c r="A175" s="14" t="s">
        <v>133</v>
      </c>
      <c r="B175" s="15"/>
      <c r="C175" s="43" t="s">
        <v>220</v>
      </c>
      <c r="D175" s="12">
        <f>D176</f>
        <v>2000</v>
      </c>
      <c r="E175" s="12"/>
      <c r="F175" s="17">
        <f t="shared" ref="F175:F178" si="34">D175+E175</f>
        <v>2000</v>
      </c>
      <c r="G175" s="12">
        <f>G176</f>
        <v>820.48</v>
      </c>
      <c r="H175" s="17">
        <f t="shared" si="19"/>
        <v>1179.52</v>
      </c>
      <c r="I175" s="163"/>
    </row>
    <row r="176" spans="1:15" s="37" customFormat="1">
      <c r="A176" s="14" t="s">
        <v>156</v>
      </c>
      <c r="B176" s="15"/>
      <c r="C176" s="43" t="s">
        <v>467</v>
      </c>
      <c r="D176" s="12">
        <v>2000</v>
      </c>
      <c r="E176" s="12">
        <v>2000</v>
      </c>
      <c r="F176" s="12">
        <v>2000</v>
      </c>
      <c r="G176" s="12">
        <v>820.48</v>
      </c>
      <c r="H176" s="8">
        <f t="shared" si="19"/>
        <v>1179.52</v>
      </c>
      <c r="I176" s="163"/>
    </row>
    <row r="177" spans="1:9" s="25" customFormat="1">
      <c r="A177" s="183" t="s">
        <v>185</v>
      </c>
      <c r="B177" s="71"/>
      <c r="C177" s="185" t="s">
        <v>470</v>
      </c>
      <c r="D177" s="29">
        <f>D178</f>
        <v>30000</v>
      </c>
      <c r="E177" s="29">
        <f>E178</f>
        <v>0</v>
      </c>
      <c r="F177" s="29">
        <f t="shared" si="34"/>
        <v>30000</v>
      </c>
      <c r="G177" s="29">
        <f>G178</f>
        <v>12663.5</v>
      </c>
      <c r="H177" s="17">
        <f t="shared" si="19"/>
        <v>17336.5</v>
      </c>
      <c r="I177" s="161"/>
    </row>
    <row r="178" spans="1:9" s="85" customFormat="1" hidden="1">
      <c r="A178" s="70" t="s">
        <v>133</v>
      </c>
      <c r="B178" s="71"/>
      <c r="C178" s="242" t="s">
        <v>220</v>
      </c>
      <c r="D178" s="28">
        <f>D179</f>
        <v>30000</v>
      </c>
      <c r="E178" s="28"/>
      <c r="F178" s="29">
        <f t="shared" si="34"/>
        <v>30000</v>
      </c>
      <c r="G178" s="28">
        <f>G179</f>
        <v>12663.5</v>
      </c>
      <c r="H178" s="17">
        <f t="shared" si="19"/>
        <v>17336.5</v>
      </c>
      <c r="I178" s="168"/>
    </row>
    <row r="179" spans="1:9" s="85" customFormat="1">
      <c r="A179" s="70" t="s">
        <v>158</v>
      </c>
      <c r="B179" s="71"/>
      <c r="C179" s="242" t="s">
        <v>471</v>
      </c>
      <c r="D179" s="28">
        <v>30000</v>
      </c>
      <c r="E179" s="28">
        <v>30000</v>
      </c>
      <c r="F179" s="28">
        <v>30000</v>
      </c>
      <c r="G179" s="28">
        <f>12663.5</f>
        <v>12663.5</v>
      </c>
      <c r="H179" s="8">
        <f t="shared" ref="H179" si="35">F179-G179</f>
        <v>17336.5</v>
      </c>
      <c r="I179" s="168"/>
    </row>
    <row r="180" spans="1:9" ht="23.25" customHeight="1">
      <c r="A180" s="322" t="s">
        <v>349</v>
      </c>
      <c r="B180" s="323"/>
      <c r="C180" s="323"/>
      <c r="D180" s="323"/>
      <c r="E180" s="323"/>
      <c r="F180" s="323"/>
      <c r="G180" s="323"/>
      <c r="H180" s="324"/>
      <c r="I180" s="147"/>
    </row>
    <row r="181" spans="1:9" s="25" customFormat="1">
      <c r="A181" s="183" t="s">
        <v>519</v>
      </c>
      <c r="B181" s="184" t="s">
        <v>2</v>
      </c>
      <c r="C181" s="185" t="s">
        <v>520</v>
      </c>
      <c r="D181" s="29">
        <v>0</v>
      </c>
      <c r="E181" s="29">
        <f>E184+E185</f>
        <v>80700</v>
      </c>
      <c r="F181" s="29">
        <f>F184+F185</f>
        <v>3630</v>
      </c>
      <c r="G181" s="29">
        <f>G182</f>
        <v>0</v>
      </c>
      <c r="H181" s="29">
        <f t="shared" ref="H181:H185" si="36">F181-G181</f>
        <v>3630</v>
      </c>
      <c r="I181" s="295">
        <f>61240-G181-G186</f>
        <v>61240</v>
      </c>
    </row>
    <row r="182" spans="1:9" s="85" customFormat="1" hidden="1">
      <c r="A182" s="70" t="s">
        <v>133</v>
      </c>
      <c r="B182" s="71" t="s">
        <v>2</v>
      </c>
      <c r="C182" s="72" t="s">
        <v>165</v>
      </c>
      <c r="D182" s="28">
        <f>D183</f>
        <v>0</v>
      </c>
      <c r="E182" s="28"/>
      <c r="F182" s="29">
        <f t="shared" ref="F182:F183" si="37">E182+D182</f>
        <v>0</v>
      </c>
      <c r="G182" s="28">
        <f>G183</f>
        <v>0</v>
      </c>
      <c r="H182" s="29">
        <f t="shared" si="36"/>
        <v>0</v>
      </c>
      <c r="I182" s="168"/>
    </row>
    <row r="183" spans="1:9" s="85" customFormat="1" ht="23.25" hidden="1">
      <c r="A183" s="70" t="s">
        <v>135</v>
      </c>
      <c r="B183" s="71" t="s">
        <v>2</v>
      </c>
      <c r="C183" s="72" t="s">
        <v>166</v>
      </c>
      <c r="D183" s="28">
        <f>D184+D185</f>
        <v>0</v>
      </c>
      <c r="E183" s="28"/>
      <c r="F183" s="29">
        <f t="shared" si="37"/>
        <v>0</v>
      </c>
      <c r="G183" s="28">
        <f>G184+G185</f>
        <v>0</v>
      </c>
      <c r="H183" s="29">
        <f t="shared" si="36"/>
        <v>0</v>
      </c>
      <c r="I183" s="168"/>
    </row>
    <row r="184" spans="1:9" s="85" customFormat="1">
      <c r="A184" s="70" t="s">
        <v>137</v>
      </c>
      <c r="B184" s="71" t="s">
        <v>2</v>
      </c>
      <c r="C184" s="72" t="s">
        <v>521</v>
      </c>
      <c r="D184" s="28">
        <v>0</v>
      </c>
      <c r="E184" s="28">
        <v>61982</v>
      </c>
      <c r="F184" s="28">
        <v>2788</v>
      </c>
      <c r="G184" s="28">
        <v>0</v>
      </c>
      <c r="H184" s="44">
        <f t="shared" si="36"/>
        <v>2788</v>
      </c>
      <c r="I184" s="168"/>
    </row>
    <row r="185" spans="1:9" s="85" customFormat="1">
      <c r="A185" s="70" t="s">
        <v>138</v>
      </c>
      <c r="B185" s="71" t="s">
        <v>2</v>
      </c>
      <c r="C185" s="72" t="s">
        <v>522</v>
      </c>
      <c r="D185" s="28">
        <v>0</v>
      </c>
      <c r="E185" s="28">
        <v>18718</v>
      </c>
      <c r="F185" s="28">
        <v>842</v>
      </c>
      <c r="G185" s="28">
        <v>0</v>
      </c>
      <c r="H185" s="44">
        <f t="shared" si="36"/>
        <v>842</v>
      </c>
      <c r="I185" s="168"/>
    </row>
    <row r="186" spans="1:9" s="244" customFormat="1">
      <c r="A186" s="183" t="s">
        <v>193</v>
      </c>
      <c r="B186" s="184" t="s">
        <v>2</v>
      </c>
      <c r="C186" s="185" t="s">
        <v>472</v>
      </c>
      <c r="D186" s="29">
        <f>D189+D190</f>
        <v>40000</v>
      </c>
      <c r="E186" s="29">
        <f t="shared" ref="E186:F186" si="38">E189+E190</f>
        <v>40000</v>
      </c>
      <c r="F186" s="29">
        <f t="shared" si="38"/>
        <v>40000</v>
      </c>
      <c r="G186" s="29">
        <f>G187</f>
        <v>0</v>
      </c>
      <c r="H186" s="29">
        <f>D186-G186</f>
        <v>40000</v>
      </c>
      <c r="I186" s="243"/>
    </row>
    <row r="187" spans="1:9" s="244" customFormat="1" hidden="1">
      <c r="A187" s="70" t="s">
        <v>157</v>
      </c>
      <c r="B187" s="71" t="s">
        <v>2</v>
      </c>
      <c r="C187" s="72" t="s">
        <v>194</v>
      </c>
      <c r="D187" s="28">
        <f>D188+D190</f>
        <v>20000</v>
      </c>
      <c r="E187" s="28"/>
      <c r="F187" s="29">
        <f t="shared" ref="F187:F188" si="39">D187+E187</f>
        <v>20000</v>
      </c>
      <c r="G187" s="28">
        <f>G190+G188</f>
        <v>0</v>
      </c>
      <c r="H187" s="29">
        <f t="shared" ref="H187:H190" si="40">D187-G187</f>
        <v>20000</v>
      </c>
      <c r="I187" s="243"/>
    </row>
    <row r="188" spans="1:9" s="244" customFormat="1" hidden="1">
      <c r="A188" s="70" t="s">
        <v>174</v>
      </c>
      <c r="B188" s="71"/>
      <c r="C188" s="72" t="s">
        <v>232</v>
      </c>
      <c r="D188" s="28">
        <v>0</v>
      </c>
      <c r="E188" s="28"/>
      <c r="F188" s="29">
        <f t="shared" si="39"/>
        <v>0</v>
      </c>
      <c r="G188" s="28">
        <v>0</v>
      </c>
      <c r="H188" s="29">
        <f t="shared" si="40"/>
        <v>0</v>
      </c>
      <c r="I188" s="243"/>
    </row>
    <row r="189" spans="1:9" s="244" customFormat="1">
      <c r="A189" s="70" t="s">
        <v>158</v>
      </c>
      <c r="B189" s="71" t="s">
        <v>2</v>
      </c>
      <c r="C189" s="72" t="s">
        <v>473</v>
      </c>
      <c r="D189" s="28">
        <v>20000</v>
      </c>
      <c r="E189" s="28">
        <v>20000</v>
      </c>
      <c r="F189" s="28">
        <v>20000</v>
      </c>
      <c r="G189" s="28">
        <v>0</v>
      </c>
      <c r="H189" s="44">
        <f t="shared" si="40"/>
        <v>20000</v>
      </c>
      <c r="I189" s="243"/>
    </row>
    <row r="190" spans="1:9" s="244" customFormat="1">
      <c r="A190" s="70" t="s">
        <v>158</v>
      </c>
      <c r="B190" s="71" t="s">
        <v>2</v>
      </c>
      <c r="C190" s="72" t="s">
        <v>474</v>
      </c>
      <c r="D190" s="28">
        <v>20000</v>
      </c>
      <c r="E190" s="28">
        <v>20000</v>
      </c>
      <c r="F190" s="28">
        <v>20000</v>
      </c>
      <c r="G190" s="28">
        <v>0</v>
      </c>
      <c r="H190" s="44">
        <f t="shared" si="40"/>
        <v>20000</v>
      </c>
      <c r="I190" s="243"/>
    </row>
    <row r="191" spans="1:9" s="244" customFormat="1">
      <c r="A191" s="183" t="s">
        <v>193</v>
      </c>
      <c r="B191" s="184" t="s">
        <v>2</v>
      </c>
      <c r="C191" s="185" t="s">
        <v>472</v>
      </c>
      <c r="D191" s="29">
        <f>D194+D195</f>
        <v>40000</v>
      </c>
      <c r="E191" s="29">
        <f t="shared" ref="E191" si="41">E194+E195</f>
        <v>40000</v>
      </c>
      <c r="F191" s="29">
        <f>F194+F195</f>
        <v>40000</v>
      </c>
      <c r="G191" s="29">
        <f>G192</f>
        <v>0</v>
      </c>
      <c r="H191" s="29">
        <f>D191-G191</f>
        <v>40000</v>
      </c>
      <c r="I191" s="243"/>
    </row>
    <row r="192" spans="1:9" s="244" customFormat="1" hidden="1">
      <c r="A192" s="70" t="s">
        <v>157</v>
      </c>
      <c r="B192" s="71" t="s">
        <v>2</v>
      </c>
      <c r="C192" s="72" t="s">
        <v>194</v>
      </c>
      <c r="D192" s="28">
        <f>D193+D195</f>
        <v>20000</v>
      </c>
      <c r="E192" s="28"/>
      <c r="F192" s="29">
        <f t="shared" ref="F192:F198" si="42">D192+E192</f>
        <v>20000</v>
      </c>
      <c r="G192" s="28">
        <f>G195+G193</f>
        <v>0</v>
      </c>
      <c r="H192" s="29">
        <f t="shared" ref="H192:H215" si="43">D192-G192</f>
        <v>20000</v>
      </c>
      <c r="I192" s="243"/>
    </row>
    <row r="193" spans="1:9" s="244" customFormat="1" hidden="1">
      <c r="A193" s="70" t="s">
        <v>174</v>
      </c>
      <c r="B193" s="71"/>
      <c r="C193" s="72" t="s">
        <v>232</v>
      </c>
      <c r="D193" s="28">
        <v>0</v>
      </c>
      <c r="E193" s="28"/>
      <c r="F193" s="29">
        <f t="shared" si="42"/>
        <v>0</v>
      </c>
      <c r="G193" s="28">
        <v>0</v>
      </c>
      <c r="H193" s="29">
        <f t="shared" si="43"/>
        <v>0</v>
      </c>
      <c r="I193" s="243"/>
    </row>
    <row r="194" spans="1:9" s="244" customFormat="1">
      <c r="A194" s="70" t="s">
        <v>156</v>
      </c>
      <c r="B194" s="71" t="s">
        <v>2</v>
      </c>
      <c r="C194" s="72" t="s">
        <v>473</v>
      </c>
      <c r="D194" s="28">
        <v>20000</v>
      </c>
      <c r="E194" s="28">
        <v>20000</v>
      </c>
      <c r="F194" s="28">
        <v>20000</v>
      </c>
      <c r="G194" s="28">
        <v>0</v>
      </c>
      <c r="H194" s="44">
        <f t="shared" si="43"/>
        <v>20000</v>
      </c>
      <c r="I194" s="243"/>
    </row>
    <row r="195" spans="1:9" s="244" customFormat="1">
      <c r="A195" s="70" t="s">
        <v>158</v>
      </c>
      <c r="B195" s="71" t="s">
        <v>2</v>
      </c>
      <c r="C195" s="72" t="s">
        <v>474</v>
      </c>
      <c r="D195" s="28">
        <v>20000</v>
      </c>
      <c r="E195" s="28">
        <v>20000</v>
      </c>
      <c r="F195" s="28">
        <v>20000</v>
      </c>
      <c r="G195" s="28">
        <v>0</v>
      </c>
      <c r="H195" s="44">
        <f t="shared" si="43"/>
        <v>20000</v>
      </c>
      <c r="I195" s="243"/>
    </row>
    <row r="196" spans="1:9" s="25" customFormat="1">
      <c r="A196" s="183" t="s">
        <v>350</v>
      </c>
      <c r="B196" s="184" t="s">
        <v>2</v>
      </c>
      <c r="C196" s="185" t="s">
        <v>475</v>
      </c>
      <c r="D196" s="29">
        <f t="shared" ref="D196:G198" si="44">D197</f>
        <v>24000</v>
      </c>
      <c r="E196" s="29"/>
      <c r="F196" s="29">
        <f t="shared" si="42"/>
        <v>24000</v>
      </c>
      <c r="G196" s="29">
        <f t="shared" si="44"/>
        <v>8000</v>
      </c>
      <c r="H196" s="29">
        <f t="shared" si="43"/>
        <v>16000</v>
      </c>
      <c r="I196" s="161"/>
    </row>
    <row r="197" spans="1:9" s="85" customFormat="1" hidden="1">
      <c r="A197" s="70" t="s">
        <v>133</v>
      </c>
      <c r="B197" s="71" t="s">
        <v>2</v>
      </c>
      <c r="C197" s="72" t="s">
        <v>195</v>
      </c>
      <c r="D197" s="28">
        <f t="shared" si="44"/>
        <v>24000</v>
      </c>
      <c r="E197" s="28"/>
      <c r="F197" s="29">
        <f t="shared" si="42"/>
        <v>24000</v>
      </c>
      <c r="G197" s="28">
        <f t="shared" si="44"/>
        <v>8000</v>
      </c>
      <c r="H197" s="29">
        <f t="shared" si="43"/>
        <v>16000</v>
      </c>
      <c r="I197" s="168"/>
    </row>
    <row r="198" spans="1:9" s="85" customFormat="1" hidden="1">
      <c r="A198" s="70" t="s">
        <v>196</v>
      </c>
      <c r="B198" s="71" t="s">
        <v>2</v>
      </c>
      <c r="C198" s="72" t="s">
        <v>197</v>
      </c>
      <c r="D198" s="28">
        <f t="shared" si="44"/>
        <v>24000</v>
      </c>
      <c r="E198" s="28"/>
      <c r="F198" s="29">
        <f t="shared" si="42"/>
        <v>24000</v>
      </c>
      <c r="G198" s="28">
        <f t="shared" si="44"/>
        <v>8000</v>
      </c>
      <c r="H198" s="29">
        <f t="shared" si="43"/>
        <v>16000</v>
      </c>
      <c r="I198" s="168"/>
    </row>
    <row r="199" spans="1:9" s="85" customFormat="1" ht="23.25">
      <c r="A199" s="70" t="s">
        <v>198</v>
      </c>
      <c r="B199" s="71" t="s">
        <v>2</v>
      </c>
      <c r="C199" s="72" t="s">
        <v>476</v>
      </c>
      <c r="D199" s="28">
        <v>24000</v>
      </c>
      <c r="E199" s="28">
        <v>24000</v>
      </c>
      <c r="F199" s="28">
        <v>24000</v>
      </c>
      <c r="G199" s="28">
        <v>8000</v>
      </c>
      <c r="H199" s="44">
        <f t="shared" si="43"/>
        <v>16000</v>
      </c>
      <c r="I199" s="168"/>
    </row>
    <row r="200" spans="1:9" s="244" customFormat="1">
      <c r="A200" s="183" t="s">
        <v>413</v>
      </c>
      <c r="B200" s="184" t="s">
        <v>2</v>
      </c>
      <c r="C200" s="185" t="s">
        <v>477</v>
      </c>
      <c r="D200" s="29">
        <f>D207</f>
        <v>10000</v>
      </c>
      <c r="E200" s="29">
        <f>E207</f>
        <v>10000</v>
      </c>
      <c r="F200" s="29">
        <f>F205+F207</f>
        <v>10000</v>
      </c>
      <c r="G200" s="29">
        <f>G201</f>
        <v>0</v>
      </c>
      <c r="H200" s="29">
        <f t="shared" si="43"/>
        <v>10000</v>
      </c>
      <c r="I200" s="243"/>
    </row>
    <row r="201" spans="1:9" s="244" customFormat="1" hidden="1">
      <c r="A201" s="70" t="s">
        <v>157</v>
      </c>
      <c r="B201" s="71" t="s">
        <v>2</v>
      </c>
      <c r="C201" s="72" t="s">
        <v>195</v>
      </c>
      <c r="D201" s="28">
        <f>D202+D208</f>
        <v>10000</v>
      </c>
      <c r="E201" s="28"/>
      <c r="F201" s="29">
        <f t="shared" ref="F201:F202" si="45">D201+E201</f>
        <v>10000</v>
      </c>
      <c r="G201" s="28">
        <f>G208+G202</f>
        <v>0</v>
      </c>
      <c r="H201" s="29">
        <f t="shared" si="43"/>
        <v>10000</v>
      </c>
      <c r="I201" s="243"/>
    </row>
    <row r="202" spans="1:9" s="244" customFormat="1" hidden="1">
      <c r="A202" s="70" t="s">
        <v>174</v>
      </c>
      <c r="B202" s="71"/>
      <c r="C202" s="72" t="s">
        <v>197</v>
      </c>
      <c r="D202" s="28">
        <v>0</v>
      </c>
      <c r="E202" s="28"/>
      <c r="F202" s="29">
        <f t="shared" si="45"/>
        <v>0</v>
      </c>
      <c r="G202" s="28">
        <v>0</v>
      </c>
      <c r="H202" s="29">
        <f t="shared" si="43"/>
        <v>0</v>
      </c>
      <c r="I202" s="243"/>
    </row>
    <row r="203" spans="1:9" s="244" customFormat="1" hidden="1">
      <c r="A203" s="70" t="s">
        <v>157</v>
      </c>
      <c r="B203" s="71" t="s">
        <v>2</v>
      </c>
      <c r="C203" s="72" t="s">
        <v>194</v>
      </c>
      <c r="D203" s="28">
        <f>D204+D207</f>
        <v>10000</v>
      </c>
      <c r="E203" s="28"/>
      <c r="F203" s="29">
        <f t="shared" ref="F203:F204" si="46">D203+E203</f>
        <v>10000</v>
      </c>
      <c r="G203" s="28">
        <f>G207+G204</f>
        <v>0</v>
      </c>
      <c r="H203" s="29">
        <f t="shared" ref="H203:H204" si="47">D203-G203</f>
        <v>10000</v>
      </c>
      <c r="I203" s="243"/>
    </row>
    <row r="204" spans="1:9" s="244" customFormat="1" hidden="1">
      <c r="A204" s="70" t="s">
        <v>174</v>
      </c>
      <c r="B204" s="71"/>
      <c r="C204" s="72" t="s">
        <v>232</v>
      </c>
      <c r="D204" s="28">
        <v>0</v>
      </c>
      <c r="E204" s="28"/>
      <c r="F204" s="29">
        <f t="shared" si="46"/>
        <v>0</v>
      </c>
      <c r="G204" s="28">
        <v>0</v>
      </c>
      <c r="H204" s="29">
        <f t="shared" si="47"/>
        <v>0</v>
      </c>
      <c r="I204" s="243"/>
    </row>
    <row r="205" spans="1:9" s="244" customFormat="1">
      <c r="A205" s="273" t="s">
        <v>133</v>
      </c>
      <c r="B205" s="296" t="s">
        <v>2</v>
      </c>
      <c r="C205" s="242" t="s">
        <v>523</v>
      </c>
      <c r="D205" s="44">
        <v>0</v>
      </c>
      <c r="E205" s="44">
        <f>E212</f>
        <v>0</v>
      </c>
      <c r="F205" s="44">
        <f>F206</f>
        <v>5400</v>
      </c>
      <c r="G205" s="44">
        <f>G206</f>
        <v>0</v>
      </c>
      <c r="H205" s="44">
        <v>5400</v>
      </c>
      <c r="I205" s="243"/>
    </row>
    <row r="206" spans="1:9" s="244" customFormat="1">
      <c r="A206" s="70" t="s">
        <v>156</v>
      </c>
      <c r="B206" s="71" t="s">
        <v>2</v>
      </c>
      <c r="C206" s="72" t="s">
        <v>524</v>
      </c>
      <c r="D206" s="28">
        <v>0</v>
      </c>
      <c r="E206" s="28">
        <v>20000</v>
      </c>
      <c r="F206" s="28">
        <v>5400</v>
      </c>
      <c r="G206" s="28">
        <v>0</v>
      </c>
      <c r="H206" s="44">
        <v>5400</v>
      </c>
      <c r="I206" s="243"/>
    </row>
    <row r="207" spans="1:9" s="244" customFormat="1">
      <c r="A207" s="70" t="s">
        <v>158</v>
      </c>
      <c r="B207" s="71" t="s">
        <v>2</v>
      </c>
      <c r="C207" s="72" t="s">
        <v>478</v>
      </c>
      <c r="D207" s="28">
        <f>D208</f>
        <v>10000</v>
      </c>
      <c r="E207" s="28">
        <f t="shared" ref="E207:F207" si="48">E208</f>
        <v>10000</v>
      </c>
      <c r="F207" s="28">
        <f t="shared" si="48"/>
        <v>4600</v>
      </c>
      <c r="G207" s="28">
        <v>0</v>
      </c>
      <c r="H207" s="44">
        <f>H208</f>
        <v>4600</v>
      </c>
      <c r="I207" s="243"/>
    </row>
    <row r="208" spans="1:9" s="244" customFormat="1" ht="14.25" customHeight="1">
      <c r="A208" s="70" t="s">
        <v>174</v>
      </c>
      <c r="B208" s="71" t="s">
        <v>2</v>
      </c>
      <c r="C208" s="242" t="s">
        <v>479</v>
      </c>
      <c r="D208" s="28">
        <v>10000</v>
      </c>
      <c r="E208" s="28">
        <v>10000</v>
      </c>
      <c r="F208" s="28">
        <v>4600</v>
      </c>
      <c r="G208" s="28">
        <v>0</v>
      </c>
      <c r="H208" s="44">
        <v>4600</v>
      </c>
      <c r="I208" s="243"/>
    </row>
    <row r="209" spans="1:9" s="85" customFormat="1" ht="17.25" customHeight="1">
      <c r="A209" s="186" t="s">
        <v>351</v>
      </c>
      <c r="B209" s="186"/>
      <c r="C209" s="267"/>
      <c r="D209" s="186"/>
      <c r="E209" s="186"/>
      <c r="F209" s="186"/>
      <c r="G209" s="186"/>
      <c r="H209" s="29">
        <f t="shared" si="43"/>
        <v>0</v>
      </c>
      <c r="I209" s="168"/>
    </row>
    <row r="210" spans="1:9" s="85" customFormat="1" ht="35.25" customHeight="1">
      <c r="A210" s="183" t="s">
        <v>352</v>
      </c>
      <c r="B210" s="184" t="s">
        <v>2</v>
      </c>
      <c r="C210" s="72" t="s">
        <v>480</v>
      </c>
      <c r="D210" s="29">
        <f t="shared" ref="D210:G210" si="49">D211</f>
        <v>10000</v>
      </c>
      <c r="E210" s="29">
        <f t="shared" si="49"/>
        <v>10000</v>
      </c>
      <c r="F210" s="29">
        <f t="shared" si="49"/>
        <v>40000</v>
      </c>
      <c r="G210" s="29">
        <f t="shared" si="49"/>
        <v>0</v>
      </c>
      <c r="H210" s="29">
        <f t="shared" si="43"/>
        <v>10000</v>
      </c>
      <c r="I210" s="168"/>
    </row>
    <row r="211" spans="1:9" s="85" customFormat="1" ht="17.25" customHeight="1">
      <c r="A211" s="70" t="s">
        <v>151</v>
      </c>
      <c r="B211" s="186" t="s">
        <v>2</v>
      </c>
      <c r="C211" s="72" t="s">
        <v>481</v>
      </c>
      <c r="D211" s="28">
        <v>10000</v>
      </c>
      <c r="E211" s="28">
        <v>10000</v>
      </c>
      <c r="F211" s="28">
        <v>40000</v>
      </c>
      <c r="G211" s="28"/>
      <c r="H211" s="44">
        <f t="shared" si="43"/>
        <v>10000</v>
      </c>
      <c r="I211" s="168"/>
    </row>
    <row r="212" spans="1:9" s="25" customFormat="1" ht="59.25" customHeight="1">
      <c r="A212" s="183" t="s">
        <v>353</v>
      </c>
      <c r="B212" s="184" t="s">
        <v>2</v>
      </c>
      <c r="C212" s="72" t="s">
        <v>483</v>
      </c>
      <c r="D212" s="29">
        <f t="shared" ref="D212:G214" si="50">D213</f>
        <v>222149</v>
      </c>
      <c r="E212" s="29"/>
      <c r="F212" s="29">
        <f t="shared" ref="F212:F214" si="51">D212+E212</f>
        <v>222149</v>
      </c>
      <c r="G212" s="29">
        <f t="shared" si="50"/>
        <v>111073</v>
      </c>
      <c r="H212" s="29">
        <f t="shared" si="43"/>
        <v>111076</v>
      </c>
      <c r="I212" s="161"/>
    </row>
    <row r="213" spans="1:9" s="85" customFormat="1" hidden="1">
      <c r="A213" s="70" t="s">
        <v>133</v>
      </c>
      <c r="B213" s="71" t="s">
        <v>2</v>
      </c>
      <c r="C213" s="186"/>
      <c r="D213" s="28">
        <f t="shared" si="50"/>
        <v>222149</v>
      </c>
      <c r="E213" s="28"/>
      <c r="F213" s="29">
        <f t="shared" si="51"/>
        <v>222149</v>
      </c>
      <c r="G213" s="28">
        <f t="shared" si="50"/>
        <v>111073</v>
      </c>
      <c r="H213" s="29">
        <f t="shared" si="43"/>
        <v>111076</v>
      </c>
      <c r="I213" s="168"/>
    </row>
    <row r="214" spans="1:9" s="85" customFormat="1" hidden="1">
      <c r="A214" s="70" t="s">
        <v>199</v>
      </c>
      <c r="B214" s="71" t="s">
        <v>2</v>
      </c>
      <c r="C214" s="185" t="s">
        <v>288</v>
      </c>
      <c r="D214" s="28">
        <f t="shared" si="50"/>
        <v>222149</v>
      </c>
      <c r="E214" s="28"/>
      <c r="F214" s="29">
        <f t="shared" si="51"/>
        <v>222149</v>
      </c>
      <c r="G214" s="28">
        <f t="shared" si="50"/>
        <v>111073</v>
      </c>
      <c r="H214" s="29">
        <f t="shared" si="43"/>
        <v>111076</v>
      </c>
      <c r="I214" s="168"/>
    </row>
    <row r="215" spans="1:9" s="85" customFormat="1" ht="23.25">
      <c r="A215" s="70" t="s">
        <v>200</v>
      </c>
      <c r="B215" s="71" t="s">
        <v>2</v>
      </c>
      <c r="C215" s="185" t="s">
        <v>484</v>
      </c>
      <c r="D215" s="28">
        <v>222149</v>
      </c>
      <c r="E215" s="28">
        <v>222149</v>
      </c>
      <c r="F215" s="28">
        <v>222149</v>
      </c>
      <c r="G215" s="28">
        <v>111073</v>
      </c>
      <c r="H215" s="44">
        <f t="shared" si="43"/>
        <v>111076</v>
      </c>
      <c r="I215" s="168"/>
    </row>
    <row r="216" spans="1:9" s="25" customFormat="1">
      <c r="A216" s="161"/>
      <c r="B216" s="161"/>
      <c r="C216" s="185" t="s">
        <v>482</v>
      </c>
      <c r="D216" s="297"/>
      <c r="E216" s="297"/>
      <c r="F216" s="29">
        <f>D216+E216</f>
        <v>0</v>
      </c>
      <c r="G216" s="161"/>
      <c r="H216" s="161"/>
      <c r="I216" s="161"/>
    </row>
    <row r="217" spans="1:9" s="25" customFormat="1">
      <c r="A217" s="70" t="s">
        <v>201</v>
      </c>
      <c r="B217" s="71" t="s">
        <v>202</v>
      </c>
      <c r="C217" s="72"/>
      <c r="D217" s="28"/>
      <c r="E217" s="28"/>
      <c r="F217" s="29"/>
      <c r="G217" s="28"/>
      <c r="H217" s="28" t="s">
        <v>204</v>
      </c>
      <c r="I217" s="161"/>
    </row>
    <row r="218" spans="1:9" s="25" customFormat="1">
      <c r="C218" s="72" t="s">
        <v>203</v>
      </c>
    </row>
    <row r="221" spans="1:9" ht="18.75">
      <c r="A221" s="255" t="s">
        <v>503</v>
      </c>
      <c r="B221" s="255"/>
      <c r="C221" s="256" t="s">
        <v>504</v>
      </c>
    </row>
    <row r="223" spans="1:9" ht="18.75">
      <c r="A223" s="298"/>
      <c r="C223" s="256"/>
    </row>
  </sheetData>
  <mergeCells count="13">
    <mergeCell ref="A2:D2"/>
    <mergeCell ref="A4:A11"/>
    <mergeCell ref="B4:B11"/>
    <mergeCell ref="C4:C11"/>
    <mergeCell ref="D4:D11"/>
    <mergeCell ref="A180:H180"/>
    <mergeCell ref="F4:F11"/>
    <mergeCell ref="G4:G11"/>
    <mergeCell ref="H4:H11"/>
    <mergeCell ref="A77:H77"/>
    <mergeCell ref="A78:H78"/>
    <mergeCell ref="A108:H108"/>
    <mergeCell ref="E4:E11"/>
  </mergeCells>
  <conditionalFormatting sqref="G217:H217 G211:H215 H209:H210 G166:G179 G133:G163 G85:G89 G71:G72 G74:G75 G81:G83 G107 G60:G69 G109:G112 F43:F50 F52:F65 F68:F75 G116:G129 H109:H179 H60:H75 G18:H20 G24:H33 D16:H17 F18 D21:H23 F28:F32 F35:F36 H34:H39 G36:G39 G40:H59 G95:G103 H79:H107 G147:H151 F181:F183 G181:H208 F39:H39">
    <cfRule type="cellIs" dxfId="0" priority="3" stopIfTrue="1" operator="equal">
      <formula>0</formula>
    </cfRule>
  </conditionalFormatting>
  <pageMargins left="0.51181102362204722" right="0" top="0" bottom="0" header="0.31496062992125984" footer="0.19685039370078741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1"/>
  <sheetViews>
    <sheetView workbookViewId="0">
      <selection activeCell="E20" sqref="E20"/>
    </sheetView>
  </sheetViews>
  <sheetFormatPr defaultRowHeight="12.75"/>
  <cols>
    <col min="1" max="1" width="3.140625" style="86" customWidth="1"/>
    <col min="2" max="2" width="4.140625" style="86" customWidth="1"/>
    <col min="3" max="3" width="46.7109375" style="86" customWidth="1"/>
    <col min="4" max="4" width="15.7109375" style="86" hidden="1" customWidth="1"/>
    <col min="5" max="5" width="17.5703125" style="86" customWidth="1"/>
    <col min="6" max="6" width="16.28515625" style="86" customWidth="1"/>
    <col min="7" max="7" width="18.42578125" style="86" customWidth="1"/>
    <col min="8" max="16384" width="9.140625" style="86"/>
  </cols>
  <sheetData>
    <row r="1" spans="2:7">
      <c r="B1" s="113"/>
    </row>
    <row r="2" spans="2:7">
      <c r="B2" s="114"/>
      <c r="E2" s="329" t="s">
        <v>391</v>
      </c>
      <c r="F2" s="329"/>
      <c r="G2" s="329"/>
    </row>
    <row r="3" spans="2:7">
      <c r="B3" s="116"/>
    </row>
    <row r="4" spans="2:7" ht="15.75">
      <c r="B4" s="328" t="s">
        <v>383</v>
      </c>
      <c r="C4" s="328"/>
      <c r="D4" s="328"/>
      <c r="E4" s="328"/>
      <c r="F4" s="328"/>
      <c r="G4" s="328"/>
    </row>
    <row r="5" spans="2:7" ht="15.75">
      <c r="B5" s="328" t="s">
        <v>375</v>
      </c>
      <c r="C5" s="328"/>
      <c r="D5" s="328"/>
      <c r="E5" s="328"/>
      <c r="F5" s="328"/>
      <c r="G5" s="328"/>
    </row>
    <row r="6" spans="2:7" ht="14.25" customHeight="1">
      <c r="B6" s="328" t="s">
        <v>376</v>
      </c>
      <c r="C6" s="328"/>
      <c r="D6" s="328"/>
      <c r="E6" s="328"/>
      <c r="F6" s="328"/>
      <c r="G6" s="328"/>
    </row>
    <row r="7" spans="2:7" hidden="1">
      <c r="B7" s="116"/>
    </row>
    <row r="8" spans="2:7" hidden="1">
      <c r="B8" s="116"/>
    </row>
    <row r="9" spans="2:7" ht="14.25" customHeight="1">
      <c r="B9" s="117"/>
      <c r="G9" s="114" t="s">
        <v>377</v>
      </c>
    </row>
    <row r="10" spans="2:7" ht="33.75" customHeight="1">
      <c r="B10" s="330" t="s">
        <v>378</v>
      </c>
      <c r="C10" s="330" t="s">
        <v>379</v>
      </c>
      <c r="D10" s="330" t="s">
        <v>380</v>
      </c>
      <c r="E10" s="330" t="s">
        <v>493</v>
      </c>
      <c r="F10" s="330" t="s">
        <v>507</v>
      </c>
      <c r="G10" s="330" t="s">
        <v>381</v>
      </c>
    </row>
    <row r="11" spans="2:7" ht="39" customHeight="1">
      <c r="B11" s="331"/>
      <c r="C11" s="331"/>
      <c r="D11" s="331"/>
      <c r="E11" s="331"/>
      <c r="F11" s="331"/>
      <c r="G11" s="331"/>
    </row>
    <row r="12" spans="2:7" ht="37.5" customHeight="1">
      <c r="B12" s="118">
        <v>1</v>
      </c>
      <c r="C12" s="118" t="s">
        <v>384</v>
      </c>
      <c r="D12" s="119">
        <v>0</v>
      </c>
      <c r="E12" s="120">
        <v>50000</v>
      </c>
      <c r="F12" s="120">
        <v>0</v>
      </c>
      <c r="G12" s="121">
        <f>F12/E12</f>
        <v>0</v>
      </c>
    </row>
    <row r="13" spans="2:7" ht="15.75">
      <c r="B13" s="118"/>
      <c r="C13" s="122" t="s">
        <v>382</v>
      </c>
      <c r="D13" s="123">
        <f>D12</f>
        <v>0</v>
      </c>
      <c r="E13" s="120">
        <f t="shared" ref="E13:F13" si="0">E12</f>
        <v>50000</v>
      </c>
      <c r="F13" s="120">
        <f t="shared" si="0"/>
        <v>0</v>
      </c>
      <c r="G13" s="121">
        <f>F13/E13</f>
        <v>0</v>
      </c>
    </row>
    <row r="14" spans="2:7">
      <c r="B14" s="117"/>
    </row>
    <row r="15" spans="2:7">
      <c r="B15" s="116"/>
    </row>
    <row r="16" spans="2:7">
      <c r="B16" s="116"/>
    </row>
    <row r="17" spans="2:17" ht="15.75" hidden="1">
      <c r="B17" s="116"/>
      <c r="C17" s="86" t="s">
        <v>355</v>
      </c>
      <c r="E17" s="86" t="s">
        <v>354</v>
      </c>
      <c r="L17" s="328"/>
      <c r="M17" s="328"/>
      <c r="N17" s="328"/>
      <c r="O17" s="328"/>
      <c r="P17" s="328"/>
      <c r="Q17" s="328"/>
    </row>
    <row r="18" spans="2:17" ht="18.75">
      <c r="B18" s="116"/>
      <c r="C18" s="255" t="s">
        <v>503</v>
      </c>
      <c r="D18" s="255"/>
      <c r="E18" s="256" t="s">
        <v>504</v>
      </c>
    </row>
    <row r="19" spans="2:17" ht="15">
      <c r="B19" s="116"/>
      <c r="C19"/>
      <c r="D19"/>
      <c r="E19"/>
    </row>
    <row r="20" spans="2:17" ht="18.75">
      <c r="B20" s="116"/>
      <c r="C20" s="298"/>
      <c r="D20"/>
      <c r="E20" s="256"/>
    </row>
    <row r="21" spans="2:17">
      <c r="B21" s="116"/>
    </row>
    <row r="22" spans="2:17">
      <c r="B22" s="116"/>
    </row>
    <row r="23" spans="2:17">
      <c r="B23" s="116"/>
    </row>
    <row r="24" spans="2:17">
      <c r="B24" s="116"/>
    </row>
    <row r="25" spans="2:17">
      <c r="B25" s="116"/>
    </row>
    <row r="26" spans="2:17">
      <c r="B26" s="116"/>
    </row>
    <row r="27" spans="2:17">
      <c r="B27" s="116"/>
    </row>
    <row r="28" spans="2:17">
      <c r="B28" s="116"/>
    </row>
    <row r="29" spans="2:17">
      <c r="B29" s="116"/>
    </row>
    <row r="30" spans="2:17">
      <c r="B30" s="116"/>
    </row>
    <row r="31" spans="2:17">
      <c r="B31" s="116"/>
    </row>
    <row r="32" spans="2:17">
      <c r="B32" s="116"/>
    </row>
    <row r="33" spans="2:7">
      <c r="B33" s="116"/>
    </row>
    <row r="34" spans="2:7">
      <c r="B34" s="124"/>
    </row>
    <row r="35" spans="2:7">
      <c r="B35" s="124"/>
      <c r="F35" s="114"/>
    </row>
    <row r="36" spans="2:7">
      <c r="B36" s="124"/>
      <c r="F36" s="115"/>
    </row>
    <row r="37" spans="2:7">
      <c r="B37" s="124"/>
      <c r="F37" s="115"/>
    </row>
    <row r="38" spans="2:7">
      <c r="B38" s="124"/>
      <c r="E38" s="327"/>
      <c r="F38" s="327"/>
    </row>
    <row r="39" spans="2:7">
      <c r="B39" s="124"/>
    </row>
    <row r="40" spans="2:7" ht="15.75">
      <c r="B40" s="125"/>
    </row>
    <row r="41" spans="2:7" ht="26.25" customHeight="1">
      <c r="B41" s="117"/>
      <c r="G41" s="117"/>
    </row>
    <row r="42" spans="2:7">
      <c r="B42" s="117"/>
    </row>
    <row r="43" spans="2:7">
      <c r="B43" s="116"/>
    </row>
    <row r="44" spans="2:7">
      <c r="B44" s="116"/>
    </row>
    <row r="45" spans="2:7">
      <c r="B45" s="116"/>
    </row>
    <row r="46" spans="2:7">
      <c r="B46" s="116"/>
    </row>
    <row r="47" spans="2:7">
      <c r="B47" s="116"/>
    </row>
    <row r="48" spans="2:7">
      <c r="B48" s="116"/>
    </row>
    <row r="49" spans="2:2">
      <c r="B49" s="116"/>
    </row>
    <row r="50" spans="2:2">
      <c r="B50" s="126"/>
    </row>
    <row r="51" spans="2:2">
      <c r="B51" s="126"/>
    </row>
    <row r="52" spans="2:2">
      <c r="B52" s="126"/>
    </row>
    <row r="53" spans="2:2">
      <c r="B53" s="126"/>
    </row>
    <row r="54" spans="2:2">
      <c r="B54" s="126"/>
    </row>
    <row r="55" spans="2:2">
      <c r="B55" s="126"/>
    </row>
    <row r="56" spans="2:2">
      <c r="B56" s="126"/>
    </row>
    <row r="57" spans="2:2" ht="15.75">
      <c r="B57" s="125"/>
    </row>
    <row r="58" spans="2:2" ht="15.75">
      <c r="B58" s="125"/>
    </row>
    <row r="59" spans="2:2" ht="15.75">
      <c r="B59" s="125"/>
    </row>
    <row r="60" spans="2:2" ht="15.75">
      <c r="B60" s="125"/>
    </row>
    <row r="61" spans="2:2" ht="15.75">
      <c r="B61" s="125"/>
    </row>
  </sheetData>
  <mergeCells count="12">
    <mergeCell ref="E38:F38"/>
    <mergeCell ref="L17:Q17"/>
    <mergeCell ref="E2:G2"/>
    <mergeCell ref="B10:B11"/>
    <mergeCell ref="C10:C11"/>
    <mergeCell ref="D10:D11"/>
    <mergeCell ref="E10:E11"/>
    <mergeCell ref="F10:F11"/>
    <mergeCell ref="G10:G11"/>
    <mergeCell ref="B4:G4"/>
    <mergeCell ref="B5:G5"/>
    <mergeCell ref="B6:G6"/>
  </mergeCells>
  <pageMargins left="0.74803149606299213" right="0.74803149606299213" top="0.98425196850393704" bottom="0.98425196850393704" header="0.51181102362204722" footer="0.51181102362204722"/>
  <pageSetup paperSize="9" scale="80" orientation="portrait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9"/>
  <sheetViews>
    <sheetView tabSelected="1" topLeftCell="A16" workbookViewId="0">
      <selection activeCell="C29" sqref="C29"/>
    </sheetView>
  </sheetViews>
  <sheetFormatPr defaultRowHeight="12.75"/>
  <cols>
    <col min="1" max="1" width="42.7109375" style="88" customWidth="1"/>
    <col min="2" max="2" width="19.7109375" style="86" customWidth="1"/>
    <col min="3" max="3" width="18.28515625" style="86" customWidth="1"/>
    <col min="4" max="4" width="21.7109375" style="87" customWidth="1"/>
    <col min="5" max="5" width="20" style="86" customWidth="1"/>
    <col min="6" max="6" width="22.140625" style="86" hidden="1" customWidth="1"/>
    <col min="7" max="8" width="0" style="86" hidden="1" customWidth="1"/>
    <col min="9" max="9" width="10.140625" style="86" hidden="1" customWidth="1"/>
    <col min="10" max="16384" width="9.140625" style="86"/>
  </cols>
  <sheetData>
    <row r="1" spans="1:29">
      <c r="D1" s="86" t="s">
        <v>392</v>
      </c>
    </row>
    <row r="2" spans="1:29" ht="48.75" customHeight="1">
      <c r="A2" s="332" t="s">
        <v>505</v>
      </c>
      <c r="B2" s="332"/>
      <c r="C2" s="332"/>
      <c r="D2" s="332"/>
      <c r="E2" s="332"/>
    </row>
    <row r="3" spans="1:29" ht="25.5" customHeight="1">
      <c r="A3" s="112"/>
      <c r="B3" s="112"/>
      <c r="C3" s="112"/>
      <c r="D3" s="112"/>
      <c r="E3" s="112"/>
    </row>
    <row r="4" spans="1:29" ht="90.75" customHeight="1">
      <c r="A4" s="102" t="s">
        <v>373</v>
      </c>
      <c r="B4" s="102" t="s">
        <v>506</v>
      </c>
      <c r="C4" s="102" t="s">
        <v>393</v>
      </c>
      <c r="D4" s="100" t="s">
        <v>372</v>
      </c>
      <c r="E4" s="103" t="s">
        <v>371</v>
      </c>
    </row>
    <row r="5" spans="1:29" s="108" customFormat="1" ht="16.5" customHeight="1">
      <c r="A5" s="111">
        <v>1</v>
      </c>
      <c r="B5" s="110">
        <v>2</v>
      </c>
      <c r="C5" s="110">
        <v>3</v>
      </c>
      <c r="D5" s="109">
        <v>4</v>
      </c>
      <c r="E5" s="109">
        <v>5</v>
      </c>
    </row>
    <row r="6" spans="1:29" s="107" customFormat="1" ht="42" customHeight="1">
      <c r="A6" s="99" t="s">
        <v>370</v>
      </c>
      <c r="B6" s="98">
        <v>1</v>
      </c>
      <c r="C6" s="98">
        <v>1</v>
      </c>
      <c r="D6" s="97">
        <f t="shared" ref="D6:D11" si="0">(C6/B6)*100</f>
        <v>100</v>
      </c>
      <c r="E6" s="96">
        <v>224352</v>
      </c>
    </row>
    <row r="7" spans="1:29" s="107" customFormat="1" ht="42" customHeight="1">
      <c r="A7" s="99" t="s">
        <v>369</v>
      </c>
      <c r="B7" s="98">
        <f>B8+B12</f>
        <v>7</v>
      </c>
      <c r="C7" s="98">
        <f>C8+C12</f>
        <v>7</v>
      </c>
      <c r="D7" s="97">
        <f t="shared" si="0"/>
        <v>100</v>
      </c>
      <c r="E7" s="96">
        <f>E8+E12</f>
        <v>618997.14</v>
      </c>
      <c r="I7" s="193" t="e">
        <f>#REF!</f>
        <v>#REF!</v>
      </c>
    </row>
    <row r="8" spans="1:29" s="107" customFormat="1" ht="26.25" customHeight="1">
      <c r="A8" s="99" t="s">
        <v>368</v>
      </c>
      <c r="B8" s="98">
        <f>B9+B10+B11</f>
        <v>5</v>
      </c>
      <c r="C8" s="98">
        <v>5</v>
      </c>
      <c r="D8" s="97">
        <f t="shared" si="0"/>
        <v>100</v>
      </c>
      <c r="E8" s="187">
        <f>E9+E10+E11</f>
        <v>491701.55</v>
      </c>
      <c r="F8" s="192">
        <f>E8-E9-E10-E11-E12</f>
        <v>-127295.59</v>
      </c>
    </row>
    <row r="9" spans="1:29" ht="26.25" customHeight="1">
      <c r="A9" s="102" t="s">
        <v>367</v>
      </c>
      <c r="B9" s="101">
        <v>1</v>
      </c>
      <c r="C9" s="101">
        <v>1</v>
      </c>
      <c r="D9" s="100">
        <f t="shared" si="0"/>
        <v>100</v>
      </c>
      <c r="E9" s="187">
        <v>155007.67000000001</v>
      </c>
      <c r="F9" s="189">
        <f>E9*30.2%</f>
        <v>46812.316340000005</v>
      </c>
    </row>
    <row r="10" spans="1:29" ht="18.75">
      <c r="A10" s="102" t="s">
        <v>495</v>
      </c>
      <c r="B10" s="101">
        <v>1</v>
      </c>
      <c r="C10" s="101">
        <v>1</v>
      </c>
      <c r="D10" s="100">
        <f t="shared" si="0"/>
        <v>100</v>
      </c>
      <c r="E10" s="187">
        <v>123096.19</v>
      </c>
      <c r="F10" s="189">
        <f>(E10-'[1]Лист1 (3)'!$P$35)*30.2%</f>
        <v>30542.374380000001</v>
      </c>
    </row>
    <row r="11" spans="1:29" ht="18" customHeight="1">
      <c r="A11" s="102" t="s">
        <v>366</v>
      </c>
      <c r="B11" s="101">
        <v>3</v>
      </c>
      <c r="C11" s="101">
        <v>3</v>
      </c>
      <c r="D11" s="100">
        <f t="shared" si="0"/>
        <v>100</v>
      </c>
      <c r="E11" s="187">
        <f>82647.14+79596.24+46575.11+4779.2</f>
        <v>213597.69</v>
      </c>
      <c r="F11" s="189">
        <f>E11*30.2%</f>
        <v>64506.502379999998</v>
      </c>
    </row>
    <row r="12" spans="1:29" ht="24" customHeight="1">
      <c r="A12" s="99" t="s">
        <v>365</v>
      </c>
      <c r="B12" s="98">
        <v>2</v>
      </c>
      <c r="C12" s="98">
        <v>2</v>
      </c>
      <c r="D12" s="97">
        <v>100</v>
      </c>
      <c r="E12" s="187">
        <f>E13+E14</f>
        <v>127295.59</v>
      </c>
      <c r="F12" s="189">
        <f>E12*30.2%</f>
        <v>38443.268179999999</v>
      </c>
      <c r="G12" s="86">
        <v>55803.57</v>
      </c>
      <c r="H12" s="189">
        <f>G12-F12</f>
        <v>17360.301820000001</v>
      </c>
    </row>
    <row r="13" spans="1:29" s="105" customFormat="1" ht="27.75" customHeight="1">
      <c r="A13" s="103" t="s">
        <v>364</v>
      </c>
      <c r="B13" s="103">
        <v>1</v>
      </c>
      <c r="C13" s="103">
        <v>1</v>
      </c>
      <c r="D13" s="103">
        <f t="shared" ref="D13:D19" si="1">(C13/B13)*100</f>
        <v>100</v>
      </c>
      <c r="E13" s="187">
        <f>58265.31+76</f>
        <v>58341.31</v>
      </c>
      <c r="F13" s="189">
        <f t="shared" ref="F13:F14" si="2">E13*30.2%</f>
        <v>17619.07562</v>
      </c>
      <c r="G13" s="106">
        <v>230230.29</v>
      </c>
      <c r="H13" s="190">
        <f>G13-E12</f>
        <v>102934.70000000001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ht="23.25" customHeight="1">
      <c r="A14" s="102" t="s">
        <v>363</v>
      </c>
      <c r="B14" s="101">
        <v>1</v>
      </c>
      <c r="C14" s="101">
        <v>1</v>
      </c>
      <c r="D14" s="100">
        <f t="shared" si="1"/>
        <v>100</v>
      </c>
      <c r="E14" s="187">
        <v>68954.28</v>
      </c>
      <c r="F14" s="189">
        <f t="shared" si="2"/>
        <v>20824.19256</v>
      </c>
    </row>
    <row r="15" spans="1:29" s="104" customFormat="1" ht="26.25" customHeight="1">
      <c r="A15" s="99" t="s">
        <v>185</v>
      </c>
      <c r="B15" s="98">
        <f>B16+B17</f>
        <v>1.5</v>
      </c>
      <c r="C15" s="98">
        <v>1.5</v>
      </c>
      <c r="D15" s="97">
        <f t="shared" si="1"/>
        <v>100</v>
      </c>
      <c r="E15" s="188">
        <f>E16+E17</f>
        <v>103371.78000000001</v>
      </c>
      <c r="I15" s="194" t="e">
        <f>#REF!</f>
        <v>#REF!</v>
      </c>
    </row>
    <row r="16" spans="1:29" ht="27" customHeight="1">
      <c r="A16" s="102" t="s">
        <v>363</v>
      </c>
      <c r="B16" s="103">
        <v>1</v>
      </c>
      <c r="C16" s="103">
        <v>1</v>
      </c>
      <c r="D16" s="100">
        <f t="shared" si="1"/>
        <v>100</v>
      </c>
      <c r="E16" s="187">
        <f>34025.24+37279.8</f>
        <v>71305.040000000008</v>
      </c>
    </row>
    <row r="17" spans="1:5" ht="54" customHeight="1">
      <c r="A17" s="102" t="s">
        <v>362</v>
      </c>
      <c r="B17" s="101">
        <v>0.5</v>
      </c>
      <c r="C17" s="101">
        <v>0.5</v>
      </c>
      <c r="D17" s="100">
        <f t="shared" si="1"/>
        <v>100</v>
      </c>
      <c r="E17" s="187">
        <f>32066.74</f>
        <v>32066.74</v>
      </c>
    </row>
    <row r="18" spans="1:5" ht="18.75">
      <c r="A18" s="99" t="s">
        <v>361</v>
      </c>
      <c r="B18" s="98">
        <v>0.35</v>
      </c>
      <c r="C18" s="98">
        <v>0.35</v>
      </c>
      <c r="D18" s="97">
        <f t="shared" si="1"/>
        <v>100</v>
      </c>
      <c r="E18" s="96">
        <v>29691.11</v>
      </c>
    </row>
    <row r="19" spans="1:5" ht="28.5" customHeight="1">
      <c r="A19" s="95" t="s">
        <v>360</v>
      </c>
      <c r="B19" s="94">
        <f>B18+B15+B12+B8+B6</f>
        <v>9.85</v>
      </c>
      <c r="C19" s="94">
        <f>C18+C15+C12+C8+C6</f>
        <v>9.85</v>
      </c>
      <c r="D19" s="93">
        <f t="shared" si="1"/>
        <v>100</v>
      </c>
      <c r="E19" s="92">
        <f>E7+E6+E15+E18</f>
        <v>976412.03</v>
      </c>
    </row>
    <row r="21" spans="1:5">
      <c r="A21" s="88" t="s">
        <v>359</v>
      </c>
    </row>
    <row r="22" spans="1:5">
      <c r="A22" s="88" t="s">
        <v>358</v>
      </c>
    </row>
    <row r="24" spans="1:5" ht="48" hidden="1" customHeight="1">
      <c r="A24" s="91" t="s">
        <v>357</v>
      </c>
      <c r="B24" s="90"/>
      <c r="C24" s="89" t="s">
        <v>356</v>
      </c>
    </row>
    <row r="25" spans="1:5" ht="48" customHeight="1">
      <c r="A25" s="91"/>
      <c r="B25" s="89"/>
      <c r="C25" s="89"/>
    </row>
    <row r="26" spans="1:5" ht="18.75" hidden="1">
      <c r="A26" s="91" t="s">
        <v>355</v>
      </c>
      <c r="B26" s="90"/>
      <c r="C26" s="89" t="s">
        <v>354</v>
      </c>
    </row>
    <row r="27" spans="1:5" ht="18.75">
      <c r="A27" s="255" t="s">
        <v>503</v>
      </c>
      <c r="B27" s="255"/>
      <c r="C27" s="256" t="s">
        <v>504</v>
      </c>
    </row>
    <row r="28" spans="1:5" ht="15">
      <c r="A28"/>
      <c r="B28"/>
      <c r="C28"/>
    </row>
    <row r="29" spans="1:5" ht="18.75">
      <c r="A29" s="298"/>
      <c r="B29"/>
      <c r="C29" s="256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D2" sqref="D2"/>
    </sheetView>
  </sheetViews>
  <sheetFormatPr defaultRowHeight="15"/>
  <sheetData>
    <row r="1" spans="1:4">
      <c r="A1">
        <f>220.9/43.81</f>
        <v>5.0422278018717188</v>
      </c>
      <c r="B1">
        <f>422.1/43.81</f>
        <v>9.6347865784067572</v>
      </c>
      <c r="C1">
        <f>2589.8 /43.81</f>
        <v>59.114357452636384</v>
      </c>
      <c r="D1">
        <f>299.6/43.81</f>
        <v>6.8386213193334857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дох. прогноз</vt:lpstr>
      <vt:lpstr>расх. прогноз</vt:lpstr>
      <vt:lpstr>дох (2)</vt:lpstr>
      <vt:lpstr>расх (2)</vt:lpstr>
      <vt:lpstr>рез.фонд</vt:lpstr>
      <vt:lpstr>штат</vt:lpstr>
      <vt:lpstr>Лист2</vt:lpstr>
      <vt:lpstr>'расх (2)'!Заголовки_для_печати</vt:lpstr>
      <vt:lpstr>'расх. прогноз'!Заголовки_для_печати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2016-07-22T02:39:36Z</cp:lastPrinted>
  <dcterms:created xsi:type="dcterms:W3CDTF">2014-03-10T04:05:00Z</dcterms:created>
  <dcterms:modified xsi:type="dcterms:W3CDTF">2016-07-22T02:41:09Z</dcterms:modified>
</cp:coreProperties>
</file>